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dt\Desktop\WEB DOCS\"/>
    </mc:Choice>
  </mc:AlternateContent>
  <bookViews>
    <workbookView xWindow="0" yWindow="0" windowWidth="18876" windowHeight="7728" tabRatio="720" firstSheet="1" activeTab="1"/>
  </bookViews>
  <sheets>
    <sheet name="Face Page" sheetId="31" state="hidden" r:id="rId1"/>
    <sheet name="Base Budget" sheetId="1" r:id="rId2"/>
    <sheet name="Mod Budget Form" sheetId="4" r:id="rId3"/>
    <sheet name="Form Page 4" sheetId="27" state="hidden" r:id="rId4"/>
    <sheet name="Form Page 5" sheetId="28" state="hidden" r:id="rId5"/>
    <sheet name="Checklist" sheetId="33" r:id="rId6"/>
    <sheet name="Tuition" sheetId="37" r:id="rId7"/>
    <sheet name="F&amp;A Calculation - Sponsor Funds" sheetId="38" r:id="rId8"/>
    <sheet name="SPA USE ONLY" sheetId="36" r:id="rId9"/>
  </sheets>
  <externalReferences>
    <externalReference r:id="rId10"/>
    <externalReference r:id="rId11"/>
    <externalReference r:id="rId12"/>
    <externalReference r:id="rId13"/>
    <externalReference r:id="rId14"/>
    <externalReference r:id="rId15"/>
    <externalReference r:id="rId16"/>
  </externalReferences>
  <definedNames>
    <definedName name="_Regression_Int" localSheetId="0" hidden="1">1</definedName>
    <definedName name="_YR1" localSheetId="4">'Form Page 5'!#REF!</definedName>
    <definedName name="_YR1" localSheetId="6">#REF!</definedName>
    <definedName name="_YR1">'Form Page 4'!#REF!</definedName>
    <definedName name="_YR2" localSheetId="4">'Form Page 5'!#REF!</definedName>
    <definedName name="_YR2" localSheetId="6">#REF!</definedName>
    <definedName name="_YR2">'Form Page 4'!#REF!</definedName>
    <definedName name="_YR3" localSheetId="4">'Form Page 5'!#REF!</definedName>
    <definedName name="_YR3" localSheetId="6">'[1]Form Page 4'!#REF!</definedName>
    <definedName name="_YR3">'Form Page 4'!#REF!</definedName>
    <definedName name="_YR4" localSheetId="4">'Form Page 5'!#REF!</definedName>
    <definedName name="_YR4" localSheetId="6">'[1]Form Page 4'!#REF!</definedName>
    <definedName name="_YR4">'Form Page 4'!#REF!</definedName>
    <definedName name="_YR5" localSheetId="4">'Form Page 5'!#REF!</definedName>
    <definedName name="_YR5" localSheetId="6">'[1]Form Page 4'!#REF!</definedName>
    <definedName name="_YR5">'Form Page 4'!#REF!</definedName>
    <definedName name="average">'Base Budget'!$R$12</definedName>
    <definedName name="bach" localSheetId="6">#REF!</definedName>
    <definedName name="bach">#REF!</definedName>
    <definedName name="CombIndirect" localSheetId="5">Checklist!#REF!</definedName>
    <definedName name="CombIndirect">#REF!</definedName>
    <definedName name="Equipment">'Base Budget'!$I$212</definedName>
    <definedName name="FA">'[2]Base Budget'!$C$13</definedName>
    <definedName name="FAC" localSheetId="4">'Form Page 5'!#REF!</definedName>
    <definedName name="fac" localSheetId="6">#REF!</definedName>
    <definedName name="FAC">'Form Page 4'!#REF!</definedName>
    <definedName name="Faculty">'Base Budget'!$G$15</definedName>
    <definedName name="FirstAltTotal" localSheetId="5">#REF!</definedName>
    <definedName name="FirstConsultTotal" localSheetId="5">#REF!</definedName>
    <definedName name="FirstEquipTotal" localSheetId="5">#REF!</definedName>
    <definedName name="FirstIndirect" localSheetId="5">Checklist!$O$36</definedName>
    <definedName name="FirstIndirect">#REF!</definedName>
    <definedName name="FirstInptTotal" localSheetId="5">#REF!</definedName>
    <definedName name="FirstOtrTotal" localSheetId="5">#REF!</definedName>
    <definedName name="FirstOutptTotal" localSheetId="5">#REF!</definedName>
    <definedName name="FirstPersonTotal" localSheetId="5">#REF!</definedName>
    <definedName name="FirstSubcDirect" localSheetId="5">#REF!</definedName>
    <definedName name="FirstSubcIDC" localSheetId="5">#REF!</definedName>
    <definedName name="FirstSubtotal" localSheetId="5">#REF!</definedName>
    <definedName name="FirstSupplTotal" localSheetId="5">#REF!</definedName>
    <definedName name="FirstTotalDirect" localSheetId="5">#REF!</definedName>
    <definedName name="FirstTravTotal" localSheetId="5">#REF!</definedName>
    <definedName name="grad" localSheetId="6">#REF!</definedName>
    <definedName name="Grad">'Base Budget'!$G$20</definedName>
    <definedName name="grad1">[3]NSF5GPG!$C$40</definedName>
    <definedName name="grad1count">'Base Budget'!$L$84</definedName>
    <definedName name="grad2count">'Base Budget'!$N$84</definedName>
    <definedName name="grad3count">'Base Budget'!$P$84</definedName>
    <definedName name="grad4count">'Base Budget'!$R$84</definedName>
    <definedName name="grad5count">'Base Budget'!$T$84</definedName>
    <definedName name="gradcount">'Base Budget'!$L$84</definedName>
    <definedName name="gradcount1">'Base Budget'!$L$84</definedName>
    <definedName name="GS" localSheetId="4">'Form Page 5'!#REF!</definedName>
    <definedName name="GS" localSheetId="6">'[1]Form Page 4'!#REF!</definedName>
    <definedName name="GS">'Form Page 4'!#REF!</definedName>
    <definedName name="hour" localSheetId="6">#REF!</definedName>
    <definedName name="hour">#REF!</definedName>
    <definedName name="HR" localSheetId="4">'Form Page 5'!#REF!</definedName>
    <definedName name="HR" localSheetId="6">'[1]Form Page 4'!#REF!</definedName>
    <definedName name="HR">'Form Page 4'!#REF!</definedName>
    <definedName name="IDC" localSheetId="3">'[4]Budget for Modular Grant'!$C$13</definedName>
    <definedName name="IDC" localSheetId="4">'[4]Budget for Modular Grant'!$C$13</definedName>
    <definedName name="IDC">'Base Budget'!$P$25</definedName>
    <definedName name="MER" localSheetId="4">'Form Page 5'!#REF!</definedName>
    <definedName name="MER">'Form Page 4'!#REF!</definedName>
    <definedName name="merit" localSheetId="6">#REF!</definedName>
    <definedName name="Merit">'Base Budget'!$G$17</definedName>
    <definedName name="PD" localSheetId="4">'Form Page 5'!#REF!</definedName>
    <definedName name="PD" localSheetId="6">'[1]Form Page 4'!#REF!</definedName>
    <definedName name="PD">'Form Page 4'!#REF!</definedName>
    <definedName name="post" localSheetId="6">#REF!</definedName>
    <definedName name="post">#REF!</definedName>
    <definedName name="PostDoc">'Base Budget'!$G$18</definedName>
    <definedName name="_xlnm.Print_Area" localSheetId="1">'Base Budget'!$A$1:$V$216</definedName>
    <definedName name="_xlnm.Print_Area" localSheetId="5">Checklist!$A$1:$O$53</definedName>
    <definedName name="_xlnm.Print_Area" localSheetId="0">'Face Page'!$A$1:$O$53</definedName>
    <definedName name="_xlnm.Print_Area" localSheetId="3">'Form Page 4'!$A$3:$M$67</definedName>
    <definedName name="_xlnm.Print_Area" localSheetId="4">'Form Page 5'!$A$2:$L$60</definedName>
    <definedName name="_xlnm.Print_Area" localSheetId="2">'Mod Budget Form'!$A$1:$N$60</definedName>
    <definedName name="_xlnm.Print_Area" localSheetId="6">Tuition!$A$1:$S$65</definedName>
    <definedName name="Print_Area_MI" localSheetId="0">'Face Page'!$A$1:$P$79</definedName>
    <definedName name="Print_Area_MI" localSheetId="6">#REF!</definedName>
    <definedName name="Print_Area_MI">#REF!</definedName>
    <definedName name="Print_Titles_MI" localSheetId="5">[5]FACE!#REF!</definedName>
    <definedName name="Print_Titles_MI" localSheetId="0">'Face Page'!#REF!</definedName>
    <definedName name="Print_Titles_MI" localSheetId="6">#REF!</definedName>
    <definedName name="Print_Titles_MI">#REF!</definedName>
    <definedName name="Professional">'Base Budget'!$G$16</definedName>
    <definedName name="PRSALARY" localSheetId="6" function="1" xlm="1">#REF!</definedName>
    <definedName name="PRSALARY" function="1" xlm="1">#REF!</definedName>
    <definedName name="PS" localSheetId="4">'Form Page 5'!#REF!</definedName>
    <definedName name="ps" localSheetId="6">#REF!</definedName>
    <definedName name="PS">'Form Page 4'!#REF!</definedName>
    <definedName name="term" localSheetId="3">'[6]Budget for Modular Grant'!$G$13</definedName>
    <definedName name="term" localSheetId="4">'[6]Budget for Modular Grant'!$G$13</definedName>
    <definedName name="term">'Base Budget'!$C$25</definedName>
    <definedName name="ug" localSheetId="6">#REF!</definedName>
    <definedName name="ug">'Base Budget'!$G$19</definedName>
    <definedName name="years">'[7]Start here'!$I$10</definedName>
  </definedNames>
  <calcPr calcId="152511"/>
</workbook>
</file>

<file path=xl/calcChain.xml><?xml version="1.0" encoding="utf-8"?>
<calcChain xmlns="http://schemas.openxmlformats.org/spreadsheetml/2006/main">
  <c r="B58" i="38" l="1"/>
  <c r="B57" i="38"/>
  <c r="B48" i="38"/>
  <c r="B47" i="38"/>
  <c r="B37" i="38"/>
  <c r="B38" i="38" s="1"/>
  <c r="B28" i="38"/>
  <c r="B27" i="38"/>
  <c r="B18" i="38"/>
  <c r="B17" i="38" l="1"/>
  <c r="F19" i="38" s="1"/>
  <c r="G19" i="38" s="1"/>
  <c r="F59" i="38"/>
  <c r="F60" i="38"/>
  <c r="C57" i="38"/>
  <c r="H51" i="38"/>
  <c r="H50" i="38"/>
  <c r="F50" i="38"/>
  <c r="F49" i="38"/>
  <c r="G49" i="38" s="1"/>
  <c r="H48" i="38"/>
  <c r="F48" i="38"/>
  <c r="H47" i="38"/>
  <c r="F47" i="38"/>
  <c r="C47" i="38"/>
  <c r="F39" i="38"/>
  <c r="F41" i="38"/>
  <c r="C37" i="38"/>
  <c r="H31" i="38"/>
  <c r="H30" i="38"/>
  <c r="F30" i="38"/>
  <c r="G30" i="38" s="1"/>
  <c r="F29" i="38"/>
  <c r="G29" i="38" s="1"/>
  <c r="H28" i="38"/>
  <c r="F31" i="38"/>
  <c r="H27" i="38"/>
  <c r="F27" i="38"/>
  <c r="C27" i="38"/>
  <c r="C17" i="38" l="1"/>
  <c r="F20" i="38"/>
  <c r="G20" i="38" s="1"/>
  <c r="G41" i="38"/>
  <c r="G48" i="38"/>
  <c r="G31" i="38"/>
  <c r="G60" i="38"/>
  <c r="G39" i="38"/>
  <c r="H19" i="38"/>
  <c r="G50" i="38"/>
  <c r="H59" i="38"/>
  <c r="F61" i="38"/>
  <c r="F18" i="38"/>
  <c r="F38" i="38"/>
  <c r="F58" i="38"/>
  <c r="H29" i="38"/>
  <c r="H32" i="38" s="1"/>
  <c r="H49" i="38"/>
  <c r="H52" i="38" s="1"/>
  <c r="F51" i="38"/>
  <c r="H17" i="38"/>
  <c r="H20" i="38"/>
  <c r="F28" i="38"/>
  <c r="F32" i="38" s="1"/>
  <c r="H37" i="38"/>
  <c r="H40" i="38"/>
  <c r="H57" i="38"/>
  <c r="H60" i="38"/>
  <c r="G59" i="38"/>
  <c r="F21" i="38"/>
  <c r="G27" i="38"/>
  <c r="H39" i="38"/>
  <c r="G47" i="38"/>
  <c r="H21" i="38"/>
  <c r="H41" i="38"/>
  <c r="H61" i="38"/>
  <c r="F17" i="38"/>
  <c r="H18" i="38"/>
  <c r="F37" i="38"/>
  <c r="H38" i="38"/>
  <c r="F40" i="38"/>
  <c r="F57" i="38"/>
  <c r="H58" i="38"/>
  <c r="G57" i="38" l="1"/>
  <c r="F62" i="38"/>
  <c r="G38" i="38"/>
  <c r="G40" i="38"/>
  <c r="H22" i="38"/>
  <c r="G18" i="38"/>
  <c r="G21" i="38"/>
  <c r="G51" i="38"/>
  <c r="G52" i="38" s="1"/>
  <c r="G37" i="38"/>
  <c r="G42" i="38" s="1"/>
  <c r="F42" i="38"/>
  <c r="G61" i="38"/>
  <c r="H42" i="38"/>
  <c r="F22" i="38"/>
  <c r="G17" i="38"/>
  <c r="F52" i="38"/>
  <c r="G28" i="38"/>
  <c r="G32" i="38" s="1"/>
  <c r="G58" i="38"/>
  <c r="H62" i="38"/>
  <c r="G62" i="38" l="1"/>
  <c r="G22" i="38"/>
  <c r="K93" i="37" l="1"/>
  <c r="K94" i="37" s="1"/>
  <c r="K95" i="37" s="1"/>
  <c r="K96" i="37" s="1"/>
  <c r="K97" i="37" s="1"/>
  <c r="K98" i="37" s="1"/>
  <c r="K99" i="37" s="1"/>
  <c r="K100" i="37" s="1"/>
  <c r="O93" i="37"/>
  <c r="O94" i="37" s="1"/>
  <c r="O95" i="37" s="1"/>
  <c r="O96" i="37" s="1"/>
  <c r="O97" i="37" s="1"/>
  <c r="O98" i="37" s="1"/>
  <c r="O99" i="37" s="1"/>
  <c r="O100" i="37" s="1"/>
  <c r="L94" i="37"/>
  <c r="N94" i="37"/>
  <c r="P94" i="37"/>
  <c r="Q94" i="37"/>
  <c r="Q95" i="37"/>
  <c r="Q96" i="37" s="1"/>
  <c r="Q97" i="37" s="1"/>
  <c r="Q98" i="37" s="1"/>
  <c r="Q99" i="37" s="1"/>
  <c r="Q100" i="37" s="1"/>
  <c r="K102" i="37"/>
  <c r="M102" i="37"/>
  <c r="O102" i="37"/>
  <c r="K103" i="37"/>
  <c r="K104" i="37" s="1"/>
  <c r="K105" i="37" s="1"/>
  <c r="K106" i="37" s="1"/>
  <c r="K107" i="37" s="1"/>
  <c r="K108" i="37" s="1"/>
  <c r="K109" i="37" s="1"/>
  <c r="O103" i="37"/>
  <c r="O104" i="37" s="1"/>
  <c r="O105" i="37" s="1"/>
  <c r="O106" i="37" s="1"/>
  <c r="O107" i="37" s="1"/>
  <c r="O108" i="37" s="1"/>
  <c r="O109" i="37" s="1"/>
  <c r="Q104" i="37"/>
  <c r="Q105" i="37"/>
  <c r="Q106" i="37" s="1"/>
  <c r="Q107" i="37"/>
  <c r="Q108" i="37" s="1"/>
  <c r="Q109" i="37" s="1"/>
  <c r="K111" i="37"/>
  <c r="K112" i="37" s="1"/>
  <c r="K113" i="37" s="1"/>
  <c r="K114" i="37" s="1"/>
  <c r="K115" i="37" s="1"/>
  <c r="K116" i="37" s="1"/>
  <c r="K117" i="37" s="1"/>
  <c r="K118" i="37" s="1"/>
  <c r="M111" i="37"/>
  <c r="M112" i="37" s="1"/>
  <c r="M113" i="37" s="1"/>
  <c r="M114" i="37" s="1"/>
  <c r="M115" i="37" s="1"/>
  <c r="M116" i="37" s="1"/>
  <c r="M117" i="37" s="1"/>
  <c r="M118" i="37" s="1"/>
  <c r="O111" i="37"/>
  <c r="O112" i="37" s="1"/>
  <c r="O113" i="37" s="1"/>
  <c r="O114" i="37" s="1"/>
  <c r="O115" i="37" s="1"/>
  <c r="O116" i="37" s="1"/>
  <c r="O117" i="37" s="1"/>
  <c r="O118" i="37" s="1"/>
  <c r="Q112" i="37"/>
  <c r="Q113" i="37" s="1"/>
  <c r="Q114" i="37" s="1"/>
  <c r="Q115" i="37" s="1"/>
  <c r="Q116" i="37" s="1"/>
  <c r="Q117" i="37" s="1"/>
  <c r="Q118" i="37" s="1"/>
  <c r="K123" i="37"/>
  <c r="K124" i="37" s="1"/>
  <c r="K125" i="37" s="1"/>
  <c r="K126" i="37" s="1"/>
  <c r="K127" i="37" s="1"/>
  <c r="K128" i="37" s="1"/>
  <c r="K129" i="37" s="1"/>
  <c r="K130" i="37" s="1"/>
  <c r="O123" i="37"/>
  <c r="M123" i="37" s="1"/>
  <c r="M124" i="37" s="1"/>
  <c r="M125" i="37" s="1"/>
  <c r="M126" i="37" s="1"/>
  <c r="M127" i="37" s="1"/>
  <c r="M128" i="37" s="1"/>
  <c r="M129" i="37" s="1"/>
  <c r="M130" i="37" s="1"/>
  <c r="O124" i="37"/>
  <c r="O125" i="37" s="1"/>
  <c r="O126" i="37" s="1"/>
  <c r="O127" i="37" s="1"/>
  <c r="O128" i="37" s="1"/>
  <c r="O129" i="37" s="1"/>
  <c r="O130" i="37" s="1"/>
  <c r="Q124" i="37"/>
  <c r="Q125" i="37" s="1"/>
  <c r="Q126" i="37" s="1"/>
  <c r="Q127" i="37" s="1"/>
  <c r="Q128" i="37" s="1"/>
  <c r="Q129" i="37" s="1"/>
  <c r="Q130" i="37" s="1"/>
  <c r="K132" i="37"/>
  <c r="O132" i="37"/>
  <c r="M132" i="37" s="1"/>
  <c r="K133" i="37"/>
  <c r="K134" i="37" s="1"/>
  <c r="K135" i="37" s="1"/>
  <c r="K136" i="37" s="1"/>
  <c r="K137" i="37" s="1"/>
  <c r="K138" i="37" s="1"/>
  <c r="K139" i="37" s="1"/>
  <c r="O133" i="37"/>
  <c r="M133" i="37" s="1"/>
  <c r="M134" i="37" s="1"/>
  <c r="M135" i="37" s="1"/>
  <c r="M136" i="37" s="1"/>
  <c r="M137" i="37" s="1"/>
  <c r="M138" i="37" s="1"/>
  <c r="M139" i="37" s="1"/>
  <c r="Q134" i="37"/>
  <c r="Q135" i="37" s="1"/>
  <c r="Q136" i="37" s="1"/>
  <c r="Q137" i="37" s="1"/>
  <c r="Q138" i="37" s="1"/>
  <c r="Q139" i="37" s="1"/>
  <c r="K141" i="37"/>
  <c r="K142" i="37" s="1"/>
  <c r="K143" i="37" s="1"/>
  <c r="K144" i="37" s="1"/>
  <c r="K145" i="37" s="1"/>
  <c r="K146" i="37" s="1"/>
  <c r="K147" i="37" s="1"/>
  <c r="K148" i="37" s="1"/>
  <c r="M141" i="37"/>
  <c r="M142" i="37" s="1"/>
  <c r="M143" i="37" s="1"/>
  <c r="M144" i="37" s="1"/>
  <c r="M145" i="37" s="1"/>
  <c r="M146" i="37" s="1"/>
  <c r="M147" i="37" s="1"/>
  <c r="M148" i="37" s="1"/>
  <c r="O141" i="37"/>
  <c r="O142" i="37" s="1"/>
  <c r="O143" i="37" s="1"/>
  <c r="O144" i="37" s="1"/>
  <c r="O145" i="37" s="1"/>
  <c r="O146" i="37" s="1"/>
  <c r="O147" i="37" s="1"/>
  <c r="O148" i="37" s="1"/>
  <c r="Q142" i="37"/>
  <c r="Q143" i="37" s="1"/>
  <c r="Q144" i="37" s="1"/>
  <c r="Q145" i="37" s="1"/>
  <c r="Q146" i="37" s="1"/>
  <c r="Q147" i="37" s="1"/>
  <c r="Q148" i="37" s="1"/>
  <c r="K153" i="37"/>
  <c r="M153" i="37"/>
  <c r="M154" i="37" s="1"/>
  <c r="M155" i="37" s="1"/>
  <c r="M156" i="37" s="1"/>
  <c r="M157" i="37" s="1"/>
  <c r="M158" i="37" s="1"/>
  <c r="M159" i="37" s="1"/>
  <c r="M160" i="37" s="1"/>
  <c r="O153" i="37"/>
  <c r="O154" i="37" s="1"/>
  <c r="K154" i="37"/>
  <c r="K155" i="37" s="1"/>
  <c r="K156" i="37" s="1"/>
  <c r="K157" i="37" s="1"/>
  <c r="K158" i="37" s="1"/>
  <c r="K159" i="37" s="1"/>
  <c r="K160" i="37" s="1"/>
  <c r="Q154" i="37"/>
  <c r="Q155" i="37" s="1"/>
  <c r="Q156" i="37" s="1"/>
  <c r="Q157" i="37" s="1"/>
  <c r="Q158" i="37" s="1"/>
  <c r="Q159" i="37" s="1"/>
  <c r="Q160" i="37" s="1"/>
  <c r="O155" i="37"/>
  <c r="O156" i="37" s="1"/>
  <c r="O157" i="37" s="1"/>
  <c r="O158" i="37" s="1"/>
  <c r="O159" i="37" s="1"/>
  <c r="O160" i="37" s="1"/>
  <c r="K162" i="37"/>
  <c r="M162" i="37"/>
  <c r="O162" i="37"/>
  <c r="K163" i="37"/>
  <c r="K164" i="37" s="1"/>
  <c r="O163" i="37"/>
  <c r="O164" i="37" s="1"/>
  <c r="O165" i="37" s="1"/>
  <c r="O166" i="37" s="1"/>
  <c r="O167" i="37" s="1"/>
  <c r="O168" i="37" s="1"/>
  <c r="O169" i="37" s="1"/>
  <c r="Q164" i="37"/>
  <c r="Q165" i="37" s="1"/>
  <c r="Q166" i="37" s="1"/>
  <c r="Q167" i="37" s="1"/>
  <c r="Q168" i="37" s="1"/>
  <c r="Q169" i="37" s="1"/>
  <c r="K165" i="37"/>
  <c r="K166" i="37" s="1"/>
  <c r="K167" i="37" s="1"/>
  <c r="K168" i="37" s="1"/>
  <c r="K169" i="37" s="1"/>
  <c r="K171" i="37"/>
  <c r="K172" i="37" s="1"/>
  <c r="K173" i="37" s="1"/>
  <c r="K174" i="37" s="1"/>
  <c r="K175" i="37" s="1"/>
  <c r="K176" i="37" s="1"/>
  <c r="K177" i="37" s="1"/>
  <c r="K178" i="37" s="1"/>
  <c r="M171" i="37"/>
  <c r="M172" i="37" s="1"/>
  <c r="M173" i="37" s="1"/>
  <c r="M174" i="37" s="1"/>
  <c r="M175" i="37" s="1"/>
  <c r="M176" i="37" s="1"/>
  <c r="M177" i="37" s="1"/>
  <c r="M178" i="37" s="1"/>
  <c r="O171" i="37"/>
  <c r="O172" i="37" s="1"/>
  <c r="O173" i="37" s="1"/>
  <c r="O174" i="37" s="1"/>
  <c r="O175" i="37" s="1"/>
  <c r="O176" i="37" s="1"/>
  <c r="O177" i="37" s="1"/>
  <c r="O178" i="37" s="1"/>
  <c r="Q172" i="37"/>
  <c r="Q173" i="37" s="1"/>
  <c r="Q174" i="37" s="1"/>
  <c r="Q175" i="37" s="1"/>
  <c r="Q176" i="37" s="1"/>
  <c r="Q177" i="37" s="1"/>
  <c r="Q178" i="37" s="1"/>
  <c r="K183" i="37"/>
  <c r="K184" i="37" s="1"/>
  <c r="K185" i="37" s="1"/>
  <c r="K186" i="37" s="1"/>
  <c r="K187" i="37" s="1"/>
  <c r="K188" i="37" s="1"/>
  <c r="K189" i="37" s="1"/>
  <c r="K190" i="37" s="1"/>
  <c r="M183" i="37"/>
  <c r="M184" i="37" s="1"/>
  <c r="M185" i="37" s="1"/>
  <c r="M186" i="37" s="1"/>
  <c r="M187" i="37" s="1"/>
  <c r="M188" i="37" s="1"/>
  <c r="M189" i="37" s="1"/>
  <c r="M190" i="37" s="1"/>
  <c r="O183" i="37"/>
  <c r="O184" i="37"/>
  <c r="O185" i="37" s="1"/>
  <c r="O186" i="37" s="1"/>
  <c r="O187" i="37" s="1"/>
  <c r="O188" i="37" s="1"/>
  <c r="O189" i="37" s="1"/>
  <c r="O190" i="37" s="1"/>
  <c r="Q184" i="37"/>
  <c r="Q185" i="37" s="1"/>
  <c r="Q186" i="37" s="1"/>
  <c r="Q187" i="37" s="1"/>
  <c r="Q188" i="37" s="1"/>
  <c r="Q189" i="37" s="1"/>
  <c r="Q190" i="37" s="1"/>
  <c r="K192" i="37"/>
  <c r="M192" i="37"/>
  <c r="O192" i="37"/>
  <c r="K193" i="37"/>
  <c r="O193" i="37"/>
  <c r="M193" i="37" s="1"/>
  <c r="M194" i="37" s="1"/>
  <c r="M195" i="37" s="1"/>
  <c r="M196" i="37" s="1"/>
  <c r="M197" i="37" s="1"/>
  <c r="M198" i="37" s="1"/>
  <c r="M199" i="37" s="1"/>
  <c r="K194" i="37"/>
  <c r="K195" i="37" s="1"/>
  <c r="K196" i="37" s="1"/>
  <c r="K197" i="37" s="1"/>
  <c r="K198" i="37" s="1"/>
  <c r="K199" i="37" s="1"/>
  <c r="Q194" i="37"/>
  <c r="Q195" i="37" s="1"/>
  <c r="Q196" i="37"/>
  <c r="Q197" i="37" s="1"/>
  <c r="Q198" i="37" s="1"/>
  <c r="Q199" i="37" s="1"/>
  <c r="K201" i="37"/>
  <c r="K202" i="37" s="1"/>
  <c r="K203" i="37" s="1"/>
  <c r="K204" i="37" s="1"/>
  <c r="K205" i="37" s="1"/>
  <c r="K206" i="37" s="1"/>
  <c r="K207" i="37" s="1"/>
  <c r="K208" i="37" s="1"/>
  <c r="M201" i="37"/>
  <c r="M202" i="37" s="1"/>
  <c r="M203" i="37" s="1"/>
  <c r="M204" i="37" s="1"/>
  <c r="M205" i="37" s="1"/>
  <c r="M206" i="37" s="1"/>
  <c r="M207" i="37" s="1"/>
  <c r="M208" i="37" s="1"/>
  <c r="O201" i="37"/>
  <c r="O202" i="37" s="1"/>
  <c r="O203" i="37" s="1"/>
  <c r="O204" i="37" s="1"/>
  <c r="O205" i="37" s="1"/>
  <c r="O206" i="37" s="1"/>
  <c r="O207" i="37" s="1"/>
  <c r="O208" i="37" s="1"/>
  <c r="Q202" i="37"/>
  <c r="Q203" i="37" s="1"/>
  <c r="Q204" i="37" s="1"/>
  <c r="Q205" i="37" s="1"/>
  <c r="Q206" i="37" s="1"/>
  <c r="Q207" i="37" s="1"/>
  <c r="Q208" i="37" s="1"/>
  <c r="M93" i="37" l="1"/>
  <c r="M94" i="37" s="1"/>
  <c r="M95" i="37" s="1"/>
  <c r="M96" i="37" s="1"/>
  <c r="M97" i="37" s="1"/>
  <c r="M98" i="37" s="1"/>
  <c r="M99" i="37" s="1"/>
  <c r="M100" i="37" s="1"/>
  <c r="O194" i="37"/>
  <c r="O195" i="37" s="1"/>
  <c r="O196" i="37" s="1"/>
  <c r="O197" i="37" s="1"/>
  <c r="O198" i="37" s="1"/>
  <c r="O199" i="37" s="1"/>
  <c r="O134" i="37"/>
  <c r="O135" i="37" s="1"/>
  <c r="O136" i="37" s="1"/>
  <c r="O137" i="37" s="1"/>
  <c r="O138" i="37" s="1"/>
  <c r="O139" i="37" s="1"/>
  <c r="M163" i="37"/>
  <c r="M164" i="37" s="1"/>
  <c r="M165" i="37" s="1"/>
  <c r="M166" i="37" s="1"/>
  <c r="M167" i="37" s="1"/>
  <c r="M168" i="37" s="1"/>
  <c r="M169" i="37" s="1"/>
  <c r="M103" i="37"/>
  <c r="M104" i="37" s="1"/>
  <c r="M105" i="37" s="1"/>
  <c r="M106" i="37" s="1"/>
  <c r="M107" i="37" s="1"/>
  <c r="M108" i="37" s="1"/>
  <c r="M109" i="37" s="1"/>
  <c r="N79" i="1"/>
  <c r="P79" i="1" s="1"/>
  <c r="R79" i="1" s="1"/>
  <c r="T79" i="1" s="1"/>
  <c r="N80" i="1"/>
  <c r="P80" i="1" s="1"/>
  <c r="R80" i="1" s="1"/>
  <c r="T80" i="1" s="1"/>
  <c r="N81" i="1"/>
  <c r="P81" i="1" s="1"/>
  <c r="R81" i="1" s="1"/>
  <c r="T81" i="1" s="1"/>
  <c r="N82" i="1"/>
  <c r="P82" i="1" s="1"/>
  <c r="R82" i="1" s="1"/>
  <c r="T82" i="1" s="1"/>
  <c r="N78" i="1"/>
  <c r="P78" i="1" s="1"/>
  <c r="R78" i="1" s="1"/>
  <c r="L88" i="1"/>
  <c r="N88" i="1" s="1"/>
  <c r="P88" i="1" s="1"/>
  <c r="R88" i="1" s="1"/>
  <c r="L38" i="1"/>
  <c r="N38" i="1" s="1"/>
  <c r="N36" i="1"/>
  <c r="P36" i="1" s="1"/>
  <c r="R36" i="1" s="1"/>
  <c r="T36" i="1" s="1"/>
  <c r="L186" i="1"/>
  <c r="K68" i="37"/>
  <c r="K67" i="37" s="1"/>
  <c r="L176" i="1" s="1"/>
  <c r="L145" i="1"/>
  <c r="L153" i="1"/>
  <c r="F28" i="28" s="1"/>
  <c r="L161" i="1"/>
  <c r="L83" i="1"/>
  <c r="L101" i="1" s="1"/>
  <c r="T122" i="1"/>
  <c r="L15" i="28" s="1"/>
  <c r="T165" i="1"/>
  <c r="P149" i="1"/>
  <c r="R149" i="1" s="1"/>
  <c r="T149" i="1" s="1"/>
  <c r="P150" i="1"/>
  <c r="R150" i="1" s="1"/>
  <c r="T150" i="1" s="1"/>
  <c r="M180" i="1"/>
  <c r="O180" i="1"/>
  <c r="Q180" i="1"/>
  <c r="S180" i="1"/>
  <c r="N172" i="1"/>
  <c r="P172" i="1" s="1"/>
  <c r="R172" i="1" s="1"/>
  <c r="T172" i="1" s="1"/>
  <c r="N127" i="1"/>
  <c r="P127" i="1" s="1"/>
  <c r="R127" i="1" s="1"/>
  <c r="T127" i="1" s="1"/>
  <c r="K48" i="37"/>
  <c r="L39" i="1"/>
  <c r="N39" i="1" s="1"/>
  <c r="P39" i="1" s="1"/>
  <c r="R39" i="1" s="1"/>
  <c r="T39" i="1" s="1"/>
  <c r="L40" i="1"/>
  <c r="L41" i="1"/>
  <c r="N41" i="1" s="1"/>
  <c r="P41" i="1" s="1"/>
  <c r="R41" i="1" s="1"/>
  <c r="T41" i="1" s="1"/>
  <c r="L42" i="1"/>
  <c r="N42" i="1" s="1"/>
  <c r="P42" i="1" s="1"/>
  <c r="R42" i="1" s="1"/>
  <c r="T42" i="1" s="1"/>
  <c r="L43" i="1"/>
  <c r="N43" i="1" s="1"/>
  <c r="P43" i="1" s="1"/>
  <c r="R43" i="1" s="1"/>
  <c r="T43" i="1" s="1"/>
  <c r="L49" i="1"/>
  <c r="L50" i="1"/>
  <c r="L51" i="1"/>
  <c r="L52" i="1"/>
  <c r="N52" i="1" s="1"/>
  <c r="P52" i="1" s="1"/>
  <c r="R52" i="1" s="1"/>
  <c r="T52" i="1" s="1"/>
  <c r="L48" i="1"/>
  <c r="N48" i="1" s="1"/>
  <c r="P48" i="1" s="1"/>
  <c r="R48" i="1" s="1"/>
  <c r="N110" i="1"/>
  <c r="P110" i="1" s="1"/>
  <c r="L89" i="1"/>
  <c r="N89" i="1" s="1"/>
  <c r="L90" i="1"/>
  <c r="N90" i="1" s="1"/>
  <c r="P90" i="1" s="1"/>
  <c r="R90" i="1" s="1"/>
  <c r="T90" i="1" s="1"/>
  <c r="L91" i="1"/>
  <c r="N91" i="1" s="1"/>
  <c r="L92" i="1"/>
  <c r="N92" i="1" s="1"/>
  <c r="P92" i="1" s="1"/>
  <c r="R92" i="1" s="1"/>
  <c r="T92" i="1" s="1"/>
  <c r="L69" i="1"/>
  <c r="K69" i="1" s="1"/>
  <c r="L70" i="1"/>
  <c r="K70" i="1" s="1"/>
  <c r="L71" i="1"/>
  <c r="N71" i="1" s="1"/>
  <c r="P71" i="1" s="1"/>
  <c r="R71" i="1" s="1"/>
  <c r="T71" i="1" s="1"/>
  <c r="L72" i="1"/>
  <c r="N72" i="1" s="1"/>
  <c r="P72" i="1" s="1"/>
  <c r="R72" i="1" s="1"/>
  <c r="T72" i="1" s="1"/>
  <c r="L68" i="1"/>
  <c r="N68" i="1" s="1"/>
  <c r="P68" i="1" s="1"/>
  <c r="R68" i="1" s="1"/>
  <c r="L59" i="1"/>
  <c r="K59" i="1" s="1"/>
  <c r="L60" i="1"/>
  <c r="L61" i="1"/>
  <c r="N61" i="1" s="1"/>
  <c r="P61" i="1" s="1"/>
  <c r="R61" i="1" s="1"/>
  <c r="T61" i="1" s="1"/>
  <c r="L62" i="1"/>
  <c r="K62" i="1" s="1"/>
  <c r="L58" i="1"/>
  <c r="N58" i="1" s="1"/>
  <c r="AF195" i="1"/>
  <c r="AH195" i="1" s="1"/>
  <c r="AF191" i="1"/>
  <c r="AH191" i="1" s="1"/>
  <c r="AF187" i="1"/>
  <c r="AH187" i="1" s="1"/>
  <c r="AF183" i="1"/>
  <c r="AH183" i="1"/>
  <c r="N40" i="1"/>
  <c r="P40" i="1" s="1"/>
  <c r="R40" i="1" s="1"/>
  <c r="T40" i="1" s="1"/>
  <c r="K42" i="1"/>
  <c r="K43" i="1"/>
  <c r="K41" i="1"/>
  <c r="K40" i="1"/>
  <c r="K39" i="1"/>
  <c r="K38" i="1"/>
  <c r="K44" i="1"/>
  <c r="J1" i="33"/>
  <c r="J40" i="33"/>
  <c r="J39" i="33"/>
  <c r="J38" i="33"/>
  <c r="J37" i="33"/>
  <c r="J36" i="33"/>
  <c r="L200" i="1"/>
  <c r="L59" i="27" s="1"/>
  <c r="L201" i="1"/>
  <c r="B10" i="4" s="1"/>
  <c r="N49" i="1"/>
  <c r="P49" i="1" s="1"/>
  <c r="R49" i="1" s="1"/>
  <c r="T49" i="1" s="1"/>
  <c r="N111" i="1"/>
  <c r="P111" i="1" s="1"/>
  <c r="R111" i="1" s="1"/>
  <c r="T111" i="1" s="1"/>
  <c r="N112" i="1"/>
  <c r="P112" i="1" s="1"/>
  <c r="R112" i="1" s="1"/>
  <c r="T112" i="1" s="1"/>
  <c r="N128" i="1"/>
  <c r="P128" i="1" s="1"/>
  <c r="R128" i="1" s="1"/>
  <c r="T128" i="1" s="1"/>
  <c r="N129" i="1"/>
  <c r="P129" i="1" s="1"/>
  <c r="R129" i="1" s="1"/>
  <c r="T129" i="1" s="1"/>
  <c r="N130" i="1"/>
  <c r="P130" i="1" s="1"/>
  <c r="R130" i="1" s="1"/>
  <c r="T130" i="1" s="1"/>
  <c r="N131" i="1"/>
  <c r="P131" i="1" s="1"/>
  <c r="R131" i="1" s="1"/>
  <c r="T131" i="1" s="1"/>
  <c r="N132" i="1"/>
  <c r="P132" i="1" s="1"/>
  <c r="R132" i="1" s="1"/>
  <c r="T132" i="1" s="1"/>
  <c r="N133" i="1"/>
  <c r="P133" i="1" s="1"/>
  <c r="R133" i="1" s="1"/>
  <c r="T133" i="1" s="1"/>
  <c r="N134" i="1"/>
  <c r="P134" i="1" s="1"/>
  <c r="R134" i="1" s="1"/>
  <c r="T134" i="1" s="1"/>
  <c r="N135" i="1"/>
  <c r="P135" i="1" s="1"/>
  <c r="R135" i="1" s="1"/>
  <c r="T135" i="1" s="1"/>
  <c r="N136" i="1"/>
  <c r="P136" i="1" s="1"/>
  <c r="R136" i="1" s="1"/>
  <c r="T136" i="1" s="1"/>
  <c r="N137" i="1"/>
  <c r="P137" i="1" s="1"/>
  <c r="R137" i="1" s="1"/>
  <c r="T137" i="1" s="1"/>
  <c r="N138" i="1"/>
  <c r="P138" i="1" s="1"/>
  <c r="R138" i="1" s="1"/>
  <c r="T138" i="1" s="1"/>
  <c r="N143" i="1"/>
  <c r="N144" i="1"/>
  <c r="P144" i="1" s="1"/>
  <c r="J26" i="28" s="1"/>
  <c r="N151" i="1"/>
  <c r="N152" i="1"/>
  <c r="P152" i="1"/>
  <c r="R152" i="1" s="1"/>
  <c r="T152" i="1" s="1"/>
  <c r="N158" i="1"/>
  <c r="N159" i="1"/>
  <c r="P159" i="1" s="1"/>
  <c r="R159" i="1" s="1"/>
  <c r="T159" i="1" s="1"/>
  <c r="N160" i="1"/>
  <c r="P160" i="1" s="1"/>
  <c r="R160" i="1" s="1"/>
  <c r="T160" i="1" s="1"/>
  <c r="N166" i="1"/>
  <c r="P166" i="1" s="1"/>
  <c r="R166" i="1" s="1"/>
  <c r="T166" i="1" s="1"/>
  <c r="N167" i="1"/>
  <c r="P167" i="1" s="1"/>
  <c r="R167" i="1" s="1"/>
  <c r="T167" i="1"/>
  <c r="N168" i="1"/>
  <c r="P168" i="1"/>
  <c r="R168" i="1" s="1"/>
  <c r="T168" i="1" s="1"/>
  <c r="N169" i="1"/>
  <c r="P169" i="1" s="1"/>
  <c r="R169" i="1" s="1"/>
  <c r="T169" i="1" s="1"/>
  <c r="N170" i="1"/>
  <c r="P170" i="1" s="1"/>
  <c r="R170" i="1" s="1"/>
  <c r="T170" i="1" s="1"/>
  <c r="N171" i="1"/>
  <c r="P171" i="1" s="1"/>
  <c r="R171" i="1" s="1"/>
  <c r="T171" i="1" s="1"/>
  <c r="N200" i="1"/>
  <c r="I33" i="28" s="1"/>
  <c r="N201" i="1"/>
  <c r="D10" i="4" s="1"/>
  <c r="N50" i="1"/>
  <c r="P50" i="1" s="1"/>
  <c r="R50" i="1" s="1"/>
  <c r="T50" i="1" s="1"/>
  <c r="N51" i="1"/>
  <c r="P51" i="1" s="1"/>
  <c r="R51" i="1" s="1"/>
  <c r="T51" i="1" s="1"/>
  <c r="P89" i="1"/>
  <c r="R89" i="1" s="1"/>
  <c r="T89" i="1" s="1"/>
  <c r="P91" i="1"/>
  <c r="R91" i="1" s="1"/>
  <c r="T91" i="1" s="1"/>
  <c r="P200" i="1"/>
  <c r="J33" i="28" s="1"/>
  <c r="P201" i="1"/>
  <c r="R200" i="1"/>
  <c r="K33" i="28" s="1"/>
  <c r="R201" i="1"/>
  <c r="K39" i="28" s="1"/>
  <c r="T200" i="1"/>
  <c r="L33" i="28"/>
  <c r="T201" i="1"/>
  <c r="J10" i="4"/>
  <c r="N186" i="1"/>
  <c r="P186" i="1" s="1"/>
  <c r="R186" i="1" s="1"/>
  <c r="T186" i="1" s="1"/>
  <c r="B38" i="1"/>
  <c r="A38" i="1" s="1"/>
  <c r="B39" i="1"/>
  <c r="A39" i="1" s="1"/>
  <c r="B40" i="1"/>
  <c r="B41" i="1"/>
  <c r="A41" i="1" s="1"/>
  <c r="B43" i="1"/>
  <c r="A43" i="1"/>
  <c r="B48" i="1"/>
  <c r="A48" i="1" s="1"/>
  <c r="B49" i="1"/>
  <c r="A49" i="1"/>
  <c r="B50" i="1"/>
  <c r="A50" i="1" s="1"/>
  <c r="B51" i="1"/>
  <c r="A51" i="1" s="1"/>
  <c r="B52" i="1"/>
  <c r="A52" i="1"/>
  <c r="B58" i="1"/>
  <c r="A58" i="1" s="1"/>
  <c r="B59" i="1"/>
  <c r="A59" i="1" s="1"/>
  <c r="B60" i="1"/>
  <c r="A60" i="1" s="1"/>
  <c r="B61" i="1"/>
  <c r="A61" i="1"/>
  <c r="B62" i="1"/>
  <c r="A62" i="1"/>
  <c r="B68" i="1"/>
  <c r="A68" i="1" s="1"/>
  <c r="B69" i="1"/>
  <c r="A69" i="1" s="1"/>
  <c r="B70" i="1"/>
  <c r="A70" i="1" s="1"/>
  <c r="B71" i="1"/>
  <c r="A71" i="1" s="1"/>
  <c r="B72" i="1"/>
  <c r="A72" i="1"/>
  <c r="B78" i="1"/>
  <c r="A78" i="1" s="1"/>
  <c r="B79" i="1"/>
  <c r="A79" i="1" s="1"/>
  <c r="B80" i="1"/>
  <c r="A80" i="1" s="1"/>
  <c r="B81" i="1"/>
  <c r="A81" i="1" s="1"/>
  <c r="B82" i="1"/>
  <c r="A82" i="1"/>
  <c r="K50" i="1"/>
  <c r="K51" i="1"/>
  <c r="K52" i="1"/>
  <c r="K61" i="1"/>
  <c r="L113" i="1"/>
  <c r="L122" i="1"/>
  <c r="M37" i="27" s="1"/>
  <c r="L139" i="1"/>
  <c r="M47" i="27"/>
  <c r="M48" i="27"/>
  <c r="R122" i="1"/>
  <c r="N122" i="1"/>
  <c r="I15" i="28"/>
  <c r="P122" i="1"/>
  <c r="J15" i="28" s="1"/>
  <c r="I2" i="28"/>
  <c r="F24" i="28"/>
  <c r="F26" i="28"/>
  <c r="K78" i="1"/>
  <c r="K82" i="1"/>
  <c r="K81" i="1"/>
  <c r="K80" i="1"/>
  <c r="K79" i="1"/>
  <c r="K49" i="1"/>
  <c r="K3" i="27"/>
  <c r="L190" i="1"/>
  <c r="N190" i="1"/>
  <c r="P190" i="1" s="1"/>
  <c r="R190" i="1" s="1"/>
  <c r="T190" i="1" s="1"/>
  <c r="L194" i="1"/>
  <c r="N194" i="1" s="1"/>
  <c r="P194" i="1" s="1"/>
  <c r="R194" i="1" s="1"/>
  <c r="T194" i="1" s="1"/>
  <c r="L198" i="1"/>
  <c r="N198" i="1" s="1"/>
  <c r="P198" i="1" s="1"/>
  <c r="R198" i="1" s="1"/>
  <c r="T198" i="1" s="1"/>
  <c r="L84" i="1"/>
  <c r="C211" i="1"/>
  <c r="I2" i="4"/>
  <c r="A40" i="1"/>
  <c r="L39" i="28"/>
  <c r="M46" i="27"/>
  <c r="M44" i="27"/>
  <c r="F21" i="28"/>
  <c r="L31" i="27"/>
  <c r="K31" i="27"/>
  <c r="M31" i="27"/>
  <c r="K48" i="1" l="1"/>
  <c r="K58" i="1"/>
  <c r="F33" i="28"/>
  <c r="N62" i="1"/>
  <c r="P62" i="1" s="1"/>
  <c r="R62" i="1" s="1"/>
  <c r="T62" i="1" s="1"/>
  <c r="N153" i="1"/>
  <c r="I28" i="28" s="1"/>
  <c r="R93" i="1"/>
  <c r="R102" i="1" s="1"/>
  <c r="N84" i="1"/>
  <c r="R110" i="1"/>
  <c r="T110" i="1" s="1"/>
  <c r="T113" i="1" s="1"/>
  <c r="L12" i="28" s="1"/>
  <c r="P113" i="1"/>
  <c r="J12" i="28" s="1"/>
  <c r="V200" i="1"/>
  <c r="N69" i="1"/>
  <c r="P69" i="1" s="1"/>
  <c r="L61" i="27"/>
  <c r="K72" i="1"/>
  <c r="L53" i="1"/>
  <c r="L98" i="1" s="1"/>
  <c r="N83" i="1"/>
  <c r="N101" i="1" s="1"/>
  <c r="N145" i="1"/>
  <c r="N113" i="1"/>
  <c r="I12" i="28" s="1"/>
  <c r="N70" i="1"/>
  <c r="P70" i="1" s="1"/>
  <c r="R70" i="1" s="1"/>
  <c r="T70" i="1" s="1"/>
  <c r="F15" i="28"/>
  <c r="I39" i="28"/>
  <c r="M50" i="27"/>
  <c r="K71" i="1"/>
  <c r="P151" i="1"/>
  <c r="R144" i="1"/>
  <c r="F39" i="28"/>
  <c r="N93" i="1"/>
  <c r="N102" i="1" s="1"/>
  <c r="N44" i="1"/>
  <c r="P38" i="1"/>
  <c r="R139" i="1"/>
  <c r="K18" i="28" s="1"/>
  <c r="R84" i="1"/>
  <c r="R83" i="1"/>
  <c r="R101" i="1" s="1"/>
  <c r="T78" i="1"/>
  <c r="T48" i="1"/>
  <c r="T53" i="1" s="1"/>
  <c r="T98" i="1" s="1"/>
  <c r="R53" i="1"/>
  <c r="R98" i="1" s="1"/>
  <c r="F12" i="28"/>
  <c r="M34" i="27"/>
  <c r="N53" i="1"/>
  <c r="N98" i="1" s="1"/>
  <c r="T68" i="1"/>
  <c r="I24" i="28"/>
  <c r="N161" i="1"/>
  <c r="H10" i="4"/>
  <c r="L10" i="4" s="1"/>
  <c r="P158" i="1"/>
  <c r="P139" i="1"/>
  <c r="J18" i="28" s="1"/>
  <c r="T88" i="1"/>
  <c r="T93" i="1" s="1"/>
  <c r="T102" i="1" s="1"/>
  <c r="L73" i="1"/>
  <c r="L100" i="1" s="1"/>
  <c r="N59" i="1"/>
  <c r="P59" i="1" s="1"/>
  <c r="R59" i="1" s="1"/>
  <c r="T59" i="1" s="1"/>
  <c r="AF198" i="1"/>
  <c r="C16" i="36" s="1"/>
  <c r="P58" i="1"/>
  <c r="P53" i="1"/>
  <c r="P98" i="1" s="1"/>
  <c r="K15" i="28"/>
  <c r="C10" i="36"/>
  <c r="T139" i="1"/>
  <c r="L18" i="28" s="1"/>
  <c r="P83" i="1"/>
  <c r="P101" i="1" s="1"/>
  <c r="K68" i="1"/>
  <c r="P84" i="1"/>
  <c r="P143" i="1"/>
  <c r="F10" i="4"/>
  <c r="J39" i="28"/>
  <c r="AH198" i="1"/>
  <c r="C17" i="36" s="1"/>
  <c r="L44" i="1"/>
  <c r="V201" i="1"/>
  <c r="N139" i="1"/>
  <c r="I18" i="28" s="1"/>
  <c r="I26" i="28"/>
  <c r="L93" i="1"/>
  <c r="P93" i="1"/>
  <c r="P102" i="1" s="1"/>
  <c r="K60" i="1"/>
  <c r="N60" i="1"/>
  <c r="P60" i="1" s="1"/>
  <c r="R60" i="1" s="1"/>
  <c r="T60" i="1" s="1"/>
  <c r="F18" i="28"/>
  <c r="L63" i="1"/>
  <c r="L99" i="1" s="1"/>
  <c r="K69" i="37"/>
  <c r="K47" i="37"/>
  <c r="K46" i="37" s="1"/>
  <c r="L175" i="1" s="1"/>
  <c r="O48" i="37"/>
  <c r="M47" i="37"/>
  <c r="M46" i="37" s="1"/>
  <c r="N175" i="1" s="1"/>
  <c r="K7" i="37"/>
  <c r="K6" i="37" s="1"/>
  <c r="L173" i="1" s="1"/>
  <c r="K28" i="37"/>
  <c r="M48" i="37"/>
  <c r="K8" i="37"/>
  <c r="M68" i="37"/>
  <c r="M67" i="37" s="1"/>
  <c r="N176" i="1" s="1"/>
  <c r="N73" i="1" l="1"/>
  <c r="N100" i="1" s="1"/>
  <c r="R113" i="1"/>
  <c r="K12" i="28" s="1"/>
  <c r="C14" i="36"/>
  <c r="R69" i="1"/>
  <c r="P73" i="1"/>
  <c r="P100" i="1" s="1"/>
  <c r="R151" i="1"/>
  <c r="P153" i="1"/>
  <c r="J28" i="28" s="1"/>
  <c r="K26" i="28"/>
  <c r="T144" i="1"/>
  <c r="L26" i="28" s="1"/>
  <c r="R58" i="1"/>
  <c r="P63" i="1"/>
  <c r="P99" i="1" s="1"/>
  <c r="R158" i="1"/>
  <c r="P161" i="1"/>
  <c r="J21" i="28" s="1"/>
  <c r="L97" i="1"/>
  <c r="L95" i="1"/>
  <c r="R38" i="1"/>
  <c r="P44" i="1"/>
  <c r="P145" i="1"/>
  <c r="R143" i="1"/>
  <c r="J24" i="28"/>
  <c r="I21" i="28"/>
  <c r="N97" i="1"/>
  <c r="L102" i="1"/>
  <c r="B93" i="1"/>
  <c r="A93" i="1" s="1"/>
  <c r="N63" i="1"/>
  <c r="N99" i="1" s="1"/>
  <c r="T84" i="1"/>
  <c r="T83" i="1"/>
  <c r="T101" i="1" s="1"/>
  <c r="M7" i="37"/>
  <c r="M6" i="37" s="1"/>
  <c r="N173" i="1" s="1"/>
  <c r="O68" i="37"/>
  <c r="O67" i="37" s="1"/>
  <c r="P176" i="1" s="1"/>
  <c r="Q48" i="37"/>
  <c r="M27" i="37"/>
  <c r="M26" i="37" s="1"/>
  <c r="N174" i="1" s="1"/>
  <c r="O47" i="37"/>
  <c r="O46" i="37" s="1"/>
  <c r="P175" i="1" s="1"/>
  <c r="K27" i="37"/>
  <c r="K26" i="37" s="1"/>
  <c r="L174" i="1" s="1"/>
  <c r="C22" i="36" l="1"/>
  <c r="N103" i="1"/>
  <c r="N95" i="1"/>
  <c r="L103" i="1"/>
  <c r="L105" i="1" s="1"/>
  <c r="F9" i="28" s="1"/>
  <c r="T151" i="1"/>
  <c r="T153" i="1" s="1"/>
  <c r="L28" i="28" s="1"/>
  <c r="R153" i="1"/>
  <c r="K28" i="28" s="1"/>
  <c r="T69" i="1"/>
  <c r="T73" i="1" s="1"/>
  <c r="T100" i="1" s="1"/>
  <c r="R73" i="1"/>
  <c r="R100" i="1" s="1"/>
  <c r="P97" i="1"/>
  <c r="P103" i="1" s="1"/>
  <c r="P95" i="1"/>
  <c r="T158" i="1"/>
  <c r="T161" i="1" s="1"/>
  <c r="L21" i="28" s="1"/>
  <c r="R161" i="1"/>
  <c r="R145" i="1"/>
  <c r="K24" i="28"/>
  <c r="T143" i="1"/>
  <c r="T38" i="1"/>
  <c r="T44" i="1" s="1"/>
  <c r="R44" i="1"/>
  <c r="A23" i="27"/>
  <c r="A19" i="27"/>
  <c r="A25" i="27"/>
  <c r="A13" i="27"/>
  <c r="A15" i="27"/>
  <c r="A29" i="27"/>
  <c r="A17" i="27"/>
  <c r="A21" i="27"/>
  <c r="A27" i="27"/>
  <c r="T58" i="1"/>
  <c r="T63" i="1" s="1"/>
  <c r="T99" i="1" s="1"/>
  <c r="R63" i="1"/>
  <c r="R99" i="1" s="1"/>
  <c r="N177" i="1"/>
  <c r="I30" i="28" s="1"/>
  <c r="M8" i="37"/>
  <c r="M69" i="37"/>
  <c r="O7" i="37"/>
  <c r="O6" i="37" s="1"/>
  <c r="P173" i="1" s="1"/>
  <c r="M28" i="37"/>
  <c r="O27" i="37"/>
  <c r="O26" i="37" s="1"/>
  <c r="P174" i="1" s="1"/>
  <c r="L177" i="1"/>
  <c r="S48" i="37"/>
  <c r="Q47" i="37"/>
  <c r="Q46" i="37" s="1"/>
  <c r="R175" i="1" s="1"/>
  <c r="Q68" i="37"/>
  <c r="Q67" i="37" s="1"/>
  <c r="R176" i="1" s="1"/>
  <c r="N105" i="1" l="1"/>
  <c r="I9" i="28" s="1"/>
  <c r="I36" i="28" s="1"/>
  <c r="I42" i="28" s="1"/>
  <c r="P105" i="1"/>
  <c r="J9" i="28" s="1"/>
  <c r="K21" i="28"/>
  <c r="C11" i="36"/>
  <c r="R97" i="1"/>
  <c r="R103" i="1" s="1"/>
  <c r="R95" i="1"/>
  <c r="T95" i="1"/>
  <c r="T97" i="1"/>
  <c r="T103" i="1" s="1"/>
  <c r="N180" i="1"/>
  <c r="N206" i="1" s="1"/>
  <c r="D27" i="38" s="1"/>
  <c r="N179" i="1"/>
  <c r="N210" i="1" s="1"/>
  <c r="T145" i="1"/>
  <c r="C24" i="36" s="1"/>
  <c r="L24" i="28"/>
  <c r="Q7" i="37"/>
  <c r="Q6" i="37" s="1"/>
  <c r="R173" i="1" s="1"/>
  <c r="P177" i="1"/>
  <c r="O69" i="37"/>
  <c r="O28" i="37"/>
  <c r="O8" i="37"/>
  <c r="S68" i="37"/>
  <c r="S67" i="37" s="1"/>
  <c r="T176" i="1" s="1"/>
  <c r="V176" i="1" s="1"/>
  <c r="Q27" i="37"/>
  <c r="Q26" i="37" s="1"/>
  <c r="R174" i="1" s="1"/>
  <c r="S47" i="37"/>
  <c r="S46" i="37" s="1"/>
  <c r="T175" i="1" s="1"/>
  <c r="V175" i="1" s="1"/>
  <c r="M58" i="27"/>
  <c r="L60" i="27" s="1"/>
  <c r="L62" i="27" s="1"/>
  <c r="L180" i="1"/>
  <c r="L206" i="1" s="1"/>
  <c r="D17" i="38" s="1"/>
  <c r="F30" i="28"/>
  <c r="F36" i="28" s="1"/>
  <c r="F42" i="28" s="1"/>
  <c r="L179" i="1"/>
  <c r="R105" i="1" l="1"/>
  <c r="K9" i="28" s="1"/>
  <c r="F37" i="33"/>
  <c r="O37" i="33" s="1"/>
  <c r="N205" i="1"/>
  <c r="D8" i="4"/>
  <c r="D11" i="4" s="1"/>
  <c r="P179" i="1"/>
  <c r="P205" i="1" s="1"/>
  <c r="T105" i="1"/>
  <c r="L9" i="28" s="1"/>
  <c r="C9" i="36"/>
  <c r="C8" i="36"/>
  <c r="D22" i="38"/>
  <c r="E17" i="38"/>
  <c r="D32" i="38"/>
  <c r="E27" i="38"/>
  <c r="R177" i="1"/>
  <c r="R179" i="1" s="1"/>
  <c r="P180" i="1"/>
  <c r="P206" i="1" s="1"/>
  <c r="J30" i="28"/>
  <c r="J36" i="28" s="1"/>
  <c r="J42" i="28" s="1"/>
  <c r="Q69" i="37"/>
  <c r="Q8" i="37"/>
  <c r="Q28" i="37"/>
  <c r="S7" i="37"/>
  <c r="S6" i="37" s="1"/>
  <c r="T173" i="1" s="1"/>
  <c r="V173" i="1" s="1"/>
  <c r="F36" i="33"/>
  <c r="O36" i="33" s="1"/>
  <c r="P210" i="1"/>
  <c r="B8" i="4"/>
  <c r="L205" i="1"/>
  <c r="G31" i="31"/>
  <c r="L210" i="1"/>
  <c r="S27" i="37"/>
  <c r="S26" i="37" s="1"/>
  <c r="T174" i="1" s="1"/>
  <c r="F8" i="4" l="1"/>
  <c r="F11" i="4" s="1"/>
  <c r="D37" i="38"/>
  <c r="I29" i="38"/>
  <c r="J29" i="38" s="1"/>
  <c r="I30" i="38"/>
  <c r="J30" i="38" s="1"/>
  <c r="I28" i="38"/>
  <c r="J28" i="38" s="1"/>
  <c r="I31" i="38"/>
  <c r="J31" i="38" s="1"/>
  <c r="I27" i="38"/>
  <c r="I18" i="38"/>
  <c r="J18" i="38" s="1"/>
  <c r="I21" i="38"/>
  <c r="J21" i="38" s="1"/>
  <c r="I19" i="38"/>
  <c r="J19" i="38" s="1"/>
  <c r="I20" i="38"/>
  <c r="J20" i="38" s="1"/>
  <c r="I17" i="38"/>
  <c r="F38" i="33"/>
  <c r="O38" i="33" s="1"/>
  <c r="R180" i="1"/>
  <c r="R206" i="1" s="1"/>
  <c r="F39" i="33" s="1"/>
  <c r="O39" i="33" s="1"/>
  <c r="K30" i="28"/>
  <c r="K36" i="28" s="1"/>
  <c r="K42" i="28" s="1"/>
  <c r="S28" i="37"/>
  <c r="S8" i="37"/>
  <c r="S69" i="37"/>
  <c r="B11" i="4"/>
  <c r="T177" i="1"/>
  <c r="C13" i="36"/>
  <c r="C25" i="36" s="1"/>
  <c r="V174" i="1"/>
  <c r="R205" i="1"/>
  <c r="H8" i="4"/>
  <c r="H11" i="4" s="1"/>
  <c r="R210" i="1"/>
  <c r="J27" i="38" l="1"/>
  <c r="J32" i="38" s="1"/>
  <c r="I32" i="38"/>
  <c r="N207" i="1" s="1"/>
  <c r="N208" i="1" s="1"/>
  <c r="J17" i="38"/>
  <c r="J22" i="38" s="1"/>
  <c r="I22" i="38"/>
  <c r="L207" i="1" s="1"/>
  <c r="L208" i="1" s="1"/>
  <c r="H31" i="31" s="1"/>
  <c r="D47" i="38"/>
  <c r="D42" i="38"/>
  <c r="E37" i="38"/>
  <c r="L30" i="28"/>
  <c r="L36" i="28" s="1"/>
  <c r="L42" i="28" s="1"/>
  <c r="L45" i="28" s="1"/>
  <c r="T179" i="1"/>
  <c r="T180" i="1"/>
  <c r="T206" i="1" s="1"/>
  <c r="D57" i="38" s="1"/>
  <c r="I38" i="38" l="1"/>
  <c r="J38" i="38" s="1"/>
  <c r="I39" i="38"/>
  <c r="J39" i="38" s="1"/>
  <c r="I41" i="38"/>
  <c r="J41" i="38" s="1"/>
  <c r="I40" i="38"/>
  <c r="J40" i="38" s="1"/>
  <c r="I37" i="38"/>
  <c r="D52" i="38"/>
  <c r="E47" i="38"/>
  <c r="D62" i="38"/>
  <c r="E57" i="38"/>
  <c r="F40" i="33"/>
  <c r="O40" i="33" s="1"/>
  <c r="O41" i="33" s="1"/>
  <c r="E213" i="1"/>
  <c r="T205" i="1"/>
  <c r="T210" i="1"/>
  <c r="J8" i="4"/>
  <c r="V179" i="1"/>
  <c r="J31" i="31" s="1"/>
  <c r="D12" i="38" l="1"/>
  <c r="J37" i="38"/>
  <c r="J42" i="38" s="1"/>
  <c r="I42" i="38"/>
  <c r="P207" i="1" s="1"/>
  <c r="P208" i="1" s="1"/>
  <c r="I58" i="38"/>
  <c r="J58" i="38" s="1"/>
  <c r="I61" i="38"/>
  <c r="J61" i="38" s="1"/>
  <c r="I60" i="38"/>
  <c r="J60" i="38" s="1"/>
  <c r="I59" i="38"/>
  <c r="J59" i="38" s="1"/>
  <c r="I57" i="38"/>
  <c r="I51" i="38"/>
  <c r="J51" i="38" s="1"/>
  <c r="I50" i="38"/>
  <c r="J50" i="38" s="1"/>
  <c r="I48" i="38"/>
  <c r="J48" i="38" s="1"/>
  <c r="I47" i="38"/>
  <c r="I49" i="38"/>
  <c r="J49" i="38" s="1"/>
  <c r="J11" i="4"/>
  <c r="L11" i="4" s="1"/>
  <c r="L8" i="4"/>
  <c r="E212" i="1"/>
  <c r="J57" i="38" l="1"/>
  <c r="J62" i="38" s="1"/>
  <c r="I62" i="38"/>
  <c r="T207" i="1" s="1"/>
  <c r="T208" i="1" s="1"/>
  <c r="J47" i="38"/>
  <c r="J52" i="38" s="1"/>
  <c r="I52" i="38"/>
  <c r="R207" i="1" s="1"/>
  <c r="R208" i="1" s="1"/>
  <c r="C26" i="36" l="1"/>
  <c r="C27" i="36" s="1"/>
  <c r="E214" i="1"/>
  <c r="E215" i="1" s="1"/>
  <c r="N31" i="31" s="1"/>
  <c r="I12" i="38"/>
</calcChain>
</file>

<file path=xl/comments1.xml><?xml version="1.0" encoding="utf-8"?>
<comments xmlns="http://schemas.openxmlformats.org/spreadsheetml/2006/main">
  <authors>
    <author>Robert Aull</author>
  </authors>
  <commentList>
    <comment ref="C11" authorId="0" shapeId="0">
      <text>
        <r>
          <rPr>
            <sz val="8"/>
            <color indexed="81"/>
            <rFont val="Tahoma"/>
            <family val="2"/>
          </rPr>
          <t>Place RFA number in Cell C11</t>
        </r>
      </text>
    </comment>
  </commentList>
</comments>
</file>

<file path=xl/comments2.xml><?xml version="1.0" encoding="utf-8"?>
<comments xmlns="http://schemas.openxmlformats.org/spreadsheetml/2006/main">
  <authors>
    <author>Diane Meyer</author>
    <author>Sara Jane Oftelie</author>
    <author>Diane M. Meyer</author>
  </authors>
  <commentList>
    <comment ref="L4" authorId="0" shapeId="0">
      <text>
        <r>
          <rPr>
            <b/>
            <sz val="10"/>
            <color indexed="81"/>
            <rFont val="Times New Roman"/>
            <family val="1"/>
          </rPr>
          <t>Instructions from OSPA (these will not print):</t>
        </r>
        <r>
          <rPr>
            <sz val="10"/>
            <color indexed="81"/>
            <rFont val="Times New Roman"/>
            <family val="1"/>
          </rPr>
          <t xml:space="preserve">
1) Indicate the </t>
        </r>
        <r>
          <rPr>
            <b/>
            <sz val="10"/>
            <color indexed="81"/>
            <rFont val="Times New Roman"/>
            <family val="1"/>
          </rPr>
          <t>number of years</t>
        </r>
        <r>
          <rPr>
            <sz val="10"/>
            <color indexed="81"/>
            <rFont val="Times New Roman"/>
            <family val="1"/>
          </rPr>
          <t xml:space="preserve"> for this project in the box that is provided.
2) Build a budget for Year 1 using your best estimates.  The spreadsheet will escalate the items for the number of years indicated in the box below. 
3)   Adjust each year's Direct Cost (in Supplies or Other) so the </t>
        </r>
        <r>
          <rPr>
            <sz val="10"/>
            <color indexed="10"/>
            <rFont val="Times New Roman"/>
            <family val="1"/>
          </rPr>
          <t>Modular Amount</t>
        </r>
        <r>
          <rPr>
            <sz val="10"/>
            <color indexed="81"/>
            <rFont val="Times New Roman"/>
            <family val="1"/>
          </rPr>
          <t xml:space="preserve"> at the bottom of the page meets, but does not exceed, a  modular amount (multiples of $25,000, not more than $250,000 in any year).  </t>
        </r>
        <r>
          <rPr>
            <b/>
            <sz val="10"/>
            <color indexed="81"/>
            <rFont val="Times New Roman"/>
            <family val="1"/>
          </rPr>
          <t>Each year should have the same total.</t>
        </r>
        <r>
          <rPr>
            <sz val="10"/>
            <color indexed="81"/>
            <rFont val="Times New Roman"/>
            <family val="1"/>
          </rPr>
          <t xml:space="preserve">  </t>
        </r>
        <r>
          <rPr>
            <b/>
            <sz val="10"/>
            <color indexed="10"/>
            <rFont val="Times New Roman"/>
            <family val="1"/>
          </rPr>
          <t>Exception:</t>
        </r>
        <r>
          <rPr>
            <sz val="10"/>
            <color indexed="81"/>
            <rFont val="Times New Roman"/>
            <family val="1"/>
          </rPr>
          <t xml:space="preserve">  </t>
        </r>
        <r>
          <rPr>
            <b/>
            <sz val="10"/>
            <color indexed="81"/>
            <rFont val="Times New Roman"/>
            <family val="1"/>
          </rPr>
          <t>Equipment</t>
        </r>
        <r>
          <rPr>
            <sz val="10"/>
            <color indexed="81"/>
            <rFont val="Times New Roman"/>
            <family val="1"/>
          </rPr>
          <t xml:space="preserve"> in one year may increase the number of modules for that year only.  Justify this in the Modular Budget Justification.</t>
        </r>
      </text>
    </comment>
    <comment ref="C77" authorId="0" shapeId="0">
      <text>
        <r>
          <rPr>
            <b/>
            <sz val="9"/>
            <color indexed="81"/>
            <rFont val="Tahoma"/>
            <family val="2"/>
          </rPr>
          <t xml:space="preserve">Please include the Project Salary for </t>
        </r>
        <r>
          <rPr>
            <b/>
            <sz val="9"/>
            <color indexed="10"/>
            <rFont val="Tahoma"/>
            <family val="2"/>
          </rPr>
          <t xml:space="preserve">each Grad. Student. </t>
        </r>
        <r>
          <rPr>
            <b/>
            <sz val="9"/>
            <color indexed="81"/>
            <rFont val="Tahoma"/>
            <family val="2"/>
          </rPr>
          <t xml:space="preserve">
</t>
        </r>
        <r>
          <rPr>
            <b/>
            <sz val="10"/>
            <color indexed="81"/>
            <rFont val="Tahoma"/>
            <family val="2"/>
          </rPr>
          <t xml:space="preserve">Name can = Graduate Student. </t>
        </r>
        <r>
          <rPr>
            <b/>
            <sz val="9"/>
            <color indexed="81"/>
            <rFont val="Tahoma"/>
            <family val="2"/>
          </rPr>
          <t>[This box will not print.]</t>
        </r>
      </text>
    </comment>
    <comment ref="L173" authorId="1" shapeId="0">
      <text>
        <r>
          <rPr>
            <b/>
            <sz val="8"/>
            <color indexed="81"/>
            <rFont val="Tahoma"/>
            <family val="2"/>
          </rPr>
          <t>Tuition will autofill from the Tuition sheet after you have made your selections.</t>
        </r>
      </text>
    </comment>
    <comment ref="I212" authorId="2" shapeId="0">
      <text>
        <r>
          <rPr>
            <b/>
            <sz val="12"/>
            <color indexed="9"/>
            <rFont val="Tahoma"/>
            <family val="2"/>
          </rPr>
          <t xml:space="preserve">Use the figures at left for the </t>
        </r>
        <r>
          <rPr>
            <b/>
            <sz val="12"/>
            <color indexed="51"/>
            <rFont val="Tahoma"/>
            <family val="2"/>
          </rPr>
          <t xml:space="preserve">GoldSheet </t>
        </r>
        <r>
          <rPr>
            <b/>
            <sz val="12"/>
            <color indexed="9"/>
            <rFont val="Tahoma"/>
            <family val="2"/>
          </rPr>
          <t>(Direct and  F&amp;A)</t>
        </r>
        <r>
          <rPr>
            <sz val="8"/>
            <color indexed="81"/>
            <rFont val="Tahoma"/>
            <family val="2"/>
          </rPr>
          <t xml:space="preserve">
</t>
        </r>
      </text>
    </comment>
  </commentList>
</comments>
</file>

<file path=xl/comments3.xml><?xml version="1.0" encoding="utf-8"?>
<comments xmlns="http://schemas.openxmlformats.org/spreadsheetml/2006/main">
  <authors>
    <author>Diane M. Meyer</author>
  </authors>
  <commentList>
    <comment ref="A2" authorId="0" shapeId="0">
      <text>
        <r>
          <rPr>
            <b/>
            <sz val="9"/>
            <color indexed="81"/>
            <rFont val="Tahoma"/>
            <family val="2"/>
          </rPr>
          <t xml:space="preserve">Please enter all budget information on the </t>
        </r>
        <r>
          <rPr>
            <b/>
            <sz val="9"/>
            <color indexed="10"/>
            <rFont val="Tahoma"/>
            <family val="2"/>
          </rPr>
          <t>Base Budget tab</t>
        </r>
        <r>
          <rPr>
            <b/>
            <sz val="9"/>
            <color indexed="81"/>
            <rFont val="Tahoma"/>
            <family val="2"/>
          </rPr>
          <t xml:space="preserve">.  You may need to tweak the information on this page.
</t>
        </r>
        <r>
          <rPr>
            <sz val="9"/>
            <color indexed="81"/>
            <rFont val="Tahoma"/>
            <family val="2"/>
          </rPr>
          <t>This box will not print.</t>
        </r>
      </text>
    </comment>
  </commentList>
</comments>
</file>

<file path=xl/comments4.xml><?xml version="1.0" encoding="utf-8"?>
<comments xmlns="http://schemas.openxmlformats.org/spreadsheetml/2006/main">
  <authors>
    <author>Diane M. Meyer</author>
  </authors>
  <commentList>
    <comment ref="A1" authorId="0" shapeId="0">
      <text>
        <r>
          <rPr>
            <b/>
            <sz val="8"/>
            <color indexed="81"/>
            <rFont val="Tahoma"/>
            <family val="2"/>
          </rPr>
          <t xml:space="preserve">Please enter all budget information on the </t>
        </r>
        <r>
          <rPr>
            <b/>
            <sz val="8"/>
            <color indexed="10"/>
            <rFont val="Tahoma"/>
            <family val="2"/>
          </rPr>
          <t xml:space="preserve">Base Budget tab.  </t>
        </r>
        <r>
          <rPr>
            <b/>
            <sz val="8"/>
            <color indexed="81"/>
            <rFont val="Tahoma"/>
            <family val="2"/>
          </rPr>
          <t>You may need to tweak the information on this page.</t>
        </r>
        <r>
          <rPr>
            <sz val="8"/>
            <color indexed="81"/>
            <rFont val="Tahoma"/>
            <family val="2"/>
          </rPr>
          <t xml:space="preserve">
This box will not print.</t>
        </r>
      </text>
    </comment>
  </commentList>
</comments>
</file>

<file path=xl/sharedStrings.xml><?xml version="1.0" encoding="utf-8"?>
<sst xmlns="http://schemas.openxmlformats.org/spreadsheetml/2006/main" count="1041" uniqueCount="508">
  <si>
    <t>Personnel</t>
  </si>
  <si>
    <t>Name</t>
  </si>
  <si>
    <t>Year 1</t>
  </si>
  <si>
    <t>Year 2</t>
  </si>
  <si>
    <t>Year 3</t>
  </si>
  <si>
    <t>Year 4</t>
  </si>
  <si>
    <t>Year 5</t>
  </si>
  <si>
    <t>Subtotals</t>
  </si>
  <si>
    <t>Subtotal Personnel</t>
  </si>
  <si>
    <t>Total Personnel</t>
  </si>
  <si>
    <t>Subtotal Fringe</t>
  </si>
  <si>
    <t>Increment Rate (Personnel)</t>
  </si>
  <si>
    <t>Consultants</t>
  </si>
  <si>
    <t>(Names)</t>
  </si>
  <si>
    <t xml:space="preserve"> </t>
  </si>
  <si>
    <t>Equipment</t>
  </si>
  <si>
    <t>(Itemize)</t>
  </si>
  <si>
    <t>Supplies</t>
  </si>
  <si>
    <t>Patient Care</t>
  </si>
  <si>
    <t>Inpatient</t>
  </si>
  <si>
    <t>Outpatient</t>
  </si>
  <si>
    <t xml:space="preserve">Subtotals </t>
  </si>
  <si>
    <t>Increment Rate (Non-Personnel)</t>
  </si>
  <si>
    <t>Tuition</t>
  </si>
  <si>
    <t>Subawards</t>
  </si>
  <si>
    <t>Direct</t>
  </si>
  <si>
    <t>Subawardee #1</t>
  </si>
  <si>
    <t>Subawardee #2</t>
  </si>
  <si>
    <t>Subawardee #4</t>
  </si>
  <si>
    <t>Total Direct Subawards</t>
  </si>
  <si>
    <t>Total Indirect Subawards</t>
  </si>
  <si>
    <t>Total Direct</t>
  </si>
  <si>
    <t>F&amp;A Base</t>
  </si>
  <si>
    <t>Total F&amp;A</t>
  </si>
  <si>
    <t>Total Costs</t>
  </si>
  <si>
    <t>Iowa State University</t>
  </si>
  <si>
    <t>Faculty Benefits</t>
  </si>
  <si>
    <t>P&amp;S Benefits</t>
  </si>
  <si>
    <t>Merit Benefits</t>
  </si>
  <si>
    <t>Graduate Assistants</t>
  </si>
  <si>
    <t>Faculty</t>
  </si>
  <si>
    <t>F&amp;A (Indirect) Rate</t>
  </si>
  <si>
    <t>Professional &amp; Scientific</t>
  </si>
  <si>
    <t>Merit</t>
  </si>
  <si>
    <t>Post Doctoral</t>
  </si>
  <si>
    <t>Undergraduate Students</t>
  </si>
  <si>
    <t>Hours</t>
  </si>
  <si>
    <t>$/Hour</t>
  </si>
  <si>
    <t>P &amp; S Benefits</t>
  </si>
  <si>
    <t>Postdoctoral Benefits</t>
  </si>
  <si>
    <t>Graduate Assistant Benefits</t>
  </si>
  <si>
    <t>Graduate Assistants (per year)</t>
  </si>
  <si>
    <t>Subtotal Direct Cost at ISU</t>
  </si>
  <si>
    <t>F&amp;A (Indirect)</t>
  </si>
  <si>
    <t>BUDGET JUSTIFICATION PAGE</t>
  </si>
  <si>
    <t>MODULAR RESEARCH GRANT APPLICATION</t>
  </si>
  <si>
    <t>anticipated, use the format below to reflect the amount and source(s).</t>
  </si>
  <si>
    <t>*Check appropriate box(es):</t>
  </si>
  <si>
    <t>Page</t>
  </si>
  <si>
    <t>Project F&amp;A base</t>
  </si>
  <si>
    <t>Project Total Cost</t>
  </si>
  <si>
    <t>-Year Totals</t>
  </si>
  <si>
    <t>Project Salary</t>
  </si>
  <si>
    <t xml:space="preserve">Annual </t>
  </si>
  <si>
    <t>Subawardee #3</t>
  </si>
  <si>
    <t>Note:  A module is any multiple of $25,000 up to, and including $250,000.</t>
  </si>
  <si>
    <t>NIH Modular Grant Worksheet,    1 - 5 Years</t>
  </si>
  <si>
    <t>Department of Health and Human Services</t>
  </si>
  <si>
    <t>Number:</t>
  </si>
  <si>
    <t>FAX:</t>
  </si>
  <si>
    <t xml:space="preserve">      PERIOD OF SUPPORT</t>
  </si>
  <si>
    <t>From</t>
  </si>
  <si>
    <t>Address</t>
  </si>
  <si>
    <t>Small Business</t>
  </si>
  <si>
    <t>005309844</t>
  </si>
  <si>
    <t>Title</t>
  </si>
  <si>
    <t>515-294-5225</t>
  </si>
  <si>
    <t>515-294-8000</t>
  </si>
  <si>
    <t>grants@iastate.edu</t>
  </si>
  <si>
    <t>Office of Sponsored Programs Administration</t>
  </si>
  <si>
    <t>YES</t>
  </si>
  <si>
    <t>12. ADMINISTRATIVE OFFICIAL TO BE NOTIFIED IF AWARD IS MADE</t>
  </si>
  <si>
    <t>Form Page 1</t>
  </si>
  <si>
    <t>Checklist Form Page</t>
  </si>
  <si>
    <t>Modular Budget Format Page</t>
  </si>
  <si>
    <t>Fixed Fee (SBIR/STTR Only)</t>
  </si>
  <si>
    <t>Number</t>
  </si>
  <si>
    <t>Formerly</t>
  </si>
  <si>
    <t>Do not exceed character length restrictions indicated.</t>
  </si>
  <si>
    <t>Date Received</t>
  </si>
  <si>
    <t>NO</t>
  </si>
  <si>
    <t>Tel:</t>
  </si>
  <si>
    <t>E-Mail:</t>
  </si>
  <si>
    <t>All applications must indicate whether program income is anticipated during the period(s) for which grant support is requested.  If program income is</t>
  </si>
  <si>
    <t>::</t>
  </si>
  <si>
    <t xml:space="preserve">          DETAILED BUDGET FOR INITIAL BUDGET PERIOD</t>
  </si>
  <si>
    <t>FROM</t>
  </si>
  <si>
    <t>THROUGH</t>
  </si>
  <si>
    <t>DIRECT COSTS ONLY</t>
  </si>
  <si>
    <t>ROLE ON</t>
  </si>
  <si>
    <t>SALARY</t>
  </si>
  <si>
    <t>FRINGE</t>
  </si>
  <si>
    <t>NAME</t>
  </si>
  <si>
    <t>PROJECT</t>
  </si>
  <si>
    <t>REQUESTED</t>
  </si>
  <si>
    <t>BENEFITS</t>
  </si>
  <si>
    <t>TOTALS</t>
  </si>
  <si>
    <t>SUBTOTALS</t>
  </si>
  <si>
    <t>CONSULTANT COSTS</t>
  </si>
  <si>
    <t>EQUIPMENT</t>
  </si>
  <si>
    <t>SUPPLIES</t>
  </si>
  <si>
    <t>TRAVEL</t>
  </si>
  <si>
    <t>$</t>
  </si>
  <si>
    <t>COSTS</t>
  </si>
  <si>
    <t>Form Page 4</t>
  </si>
  <si>
    <r>
      <t xml:space="preserve">PERSONNEL </t>
    </r>
    <r>
      <rPr>
        <i/>
        <sz val="8"/>
        <color indexed="8"/>
        <rFont val="Arial"/>
        <family val="2"/>
      </rPr>
      <t>(Applicant organization only)</t>
    </r>
  </si>
  <si>
    <r>
      <t xml:space="preserve">EQUIPMENT </t>
    </r>
    <r>
      <rPr>
        <i/>
        <sz val="10"/>
        <color indexed="8"/>
        <rFont val="Arial"/>
        <family val="2"/>
      </rPr>
      <t>(Itemize)</t>
    </r>
  </si>
  <si>
    <r>
      <t xml:space="preserve">SUPPLIES </t>
    </r>
    <r>
      <rPr>
        <i/>
        <sz val="10"/>
        <color indexed="8"/>
        <rFont val="Arial"/>
        <family val="2"/>
      </rPr>
      <t>(Itemize by category)</t>
    </r>
  </si>
  <si>
    <r>
      <t xml:space="preserve">ALTERATIONS AND RENOVATIONS </t>
    </r>
    <r>
      <rPr>
        <i/>
        <sz val="10"/>
        <color indexed="8"/>
        <rFont val="Arial"/>
        <family val="2"/>
      </rPr>
      <t>(Itemize by category)</t>
    </r>
  </si>
  <si>
    <r>
      <t xml:space="preserve">OTHER EXPENSES </t>
    </r>
    <r>
      <rPr>
        <i/>
        <sz val="10"/>
        <color indexed="8"/>
        <rFont val="Arial"/>
        <family val="2"/>
      </rPr>
      <t>(itemize by category)</t>
    </r>
  </si>
  <si>
    <r>
      <t>Page</t>
    </r>
    <r>
      <rPr>
        <u/>
        <sz val="8"/>
        <color indexed="8"/>
        <rFont val="Arial"/>
        <family val="2"/>
      </rPr>
      <t xml:space="preserve">     </t>
    </r>
  </si>
  <si>
    <t>BUDGET FOR ENTIRE PROPOSED PROJECT PERIOD</t>
  </si>
  <si>
    <t>INITIAL BUDGET</t>
  </si>
  <si>
    <t>BUDGET CATEGORY</t>
  </si>
  <si>
    <t>PERIOD</t>
  </si>
  <si>
    <t>2nd</t>
  </si>
  <si>
    <t>3rd</t>
  </si>
  <si>
    <t>4th</t>
  </si>
  <si>
    <t>5th</t>
  </si>
  <si>
    <t>ALTERATIONS AND</t>
  </si>
  <si>
    <t>RENOVATIONS</t>
  </si>
  <si>
    <t>OTHER EXPENSES</t>
  </si>
  <si>
    <t>SUBTOTAL DIRECT COSTS</t>
  </si>
  <si>
    <t>CONTRACTUAL</t>
  </si>
  <si>
    <t>TOTAL DIRECT COSTS</t>
  </si>
  <si>
    <t xml:space="preserve">Page </t>
  </si>
  <si>
    <t>Form Page 5</t>
  </si>
  <si>
    <r>
      <t xml:space="preserve">SUBTOTAL DIRECT COSTS FOR INITIAL BUDGET PERIOD </t>
    </r>
    <r>
      <rPr>
        <i/>
        <sz val="10"/>
        <color indexed="8"/>
        <rFont val="Arial"/>
        <family val="2"/>
      </rPr>
      <t>(Item 7a, Face Page)</t>
    </r>
  </si>
  <si>
    <t>CONSORTIUM/CONTRACTUAL COSTS</t>
  </si>
  <si>
    <t>TOTAL DIRECT COSTS FOR INITIAL BUDGET PERIOD</t>
  </si>
  <si>
    <t>SBIR/STTR Only: FEE REQUESTED</t>
  </si>
  <si>
    <t>(from Form Page 4)</t>
  </si>
  <si>
    <t>(Sum - Item 8a, Face Page)</t>
  </si>
  <si>
    <t>DC less Consortium F&amp;A</t>
  </si>
  <si>
    <t>Consortium F&amp;A</t>
  </si>
  <si>
    <t>Total Direct Costs</t>
  </si>
  <si>
    <t>(Item 7a, Face Page)</t>
  </si>
  <si>
    <t>(Item 8a, Face Page)</t>
  </si>
  <si>
    <t>Consortium</t>
  </si>
  <si>
    <t xml:space="preserve">Initial Period </t>
  </si>
  <si>
    <t>Sum Total (For Entire Project Period)</t>
  </si>
  <si>
    <t>FACILITIES AND ADMINISTRATIVE COSTS</t>
  </si>
  <si>
    <t>DIRECT COSTS</t>
  </si>
  <si>
    <t>Principal Investigator/Program Director (Last, First, Middle):</t>
  </si>
  <si>
    <t>Principal Investigator/Program Director (Last,First, Middle):</t>
  </si>
  <si>
    <t xml:space="preserve">                             Principal Investigator/Program Director (Last,First, Middle):</t>
  </si>
  <si>
    <t>TOTAL DIRECT COSTS FOR ENTIRE PROPOSED PERIOD</t>
  </si>
  <si>
    <t>JUSTIFICATION. Follow the budget justification instructions exactly.  Use continuation pages as needed.</t>
  </si>
  <si>
    <t>This is your Modular Amount &gt; &gt; &gt;</t>
  </si>
  <si>
    <t>PI name</t>
  </si>
  <si>
    <t>Principal Investigator</t>
  </si>
  <si>
    <t>1138 Pearson</t>
  </si>
  <si>
    <t>Post Doc</t>
  </si>
  <si>
    <t>&lt;&lt; Number of Years for Project</t>
  </si>
  <si>
    <t>Undergraduate</t>
  </si>
  <si>
    <t xml:space="preserve">PHS 398 (Rev. 04/06)  </t>
  </si>
  <si>
    <t>Cal.</t>
  </si>
  <si>
    <t xml:space="preserve">Months  </t>
  </si>
  <si>
    <t>Acad.</t>
  </si>
  <si>
    <t>Months</t>
  </si>
  <si>
    <t>Sum.</t>
  </si>
  <si>
    <t>SIGNATURE OF OFFICIAL NAMED IN 13.</t>
  </si>
  <si>
    <t>Director, OSPA</t>
  </si>
  <si>
    <t>Manager, Pre-Award Services</t>
  </si>
  <si>
    <t>Iowa State University of Science and Technology</t>
  </si>
  <si>
    <t>DATE</t>
  </si>
  <si>
    <t xml:space="preserve">OMB No.   0925-0001  </t>
  </si>
  <si>
    <t xml:space="preserve">  LEAVE BLANK—FOR PHS USE ONLY.</t>
  </si>
  <si>
    <t>Public Health Services</t>
  </si>
  <si>
    <t xml:space="preserve">  Type</t>
  </si>
  <si>
    <t xml:space="preserve"> Activity</t>
  </si>
  <si>
    <t xml:space="preserve">  Review Group</t>
  </si>
  <si>
    <t xml:space="preserve">  Council/Board (Month, Year)</t>
  </si>
  <si>
    <r>
      <t xml:space="preserve">1.   TITLE OF PROJECT </t>
    </r>
    <r>
      <rPr>
        <i/>
        <sz val="9"/>
        <rFont val="Arial"/>
        <family val="2"/>
      </rPr>
      <t>(Do not exceed 81 characters, including spaces and punctuation.)</t>
    </r>
  </si>
  <si>
    <t>2.   RESPONSE TO SPECIFIC REQUEST FOR APPLICATIONS OR PROGRAM ANNOUNCEMENT OR SOLICITATION</t>
  </si>
  <si>
    <r>
      <t xml:space="preserve">   </t>
    </r>
    <r>
      <rPr>
        <i/>
        <sz val="9"/>
        <rFont val="Arial"/>
        <family val="2"/>
      </rPr>
      <t>(If "Yes," state number and title)</t>
    </r>
  </si>
  <si>
    <t xml:space="preserve">      Title:</t>
  </si>
  <si>
    <t>3.  PROGRAM DIRECTOR/PRINCIPAL INVESTIGATOR</t>
  </si>
  <si>
    <r>
      <t>3a.  NAME</t>
    </r>
    <r>
      <rPr>
        <i/>
        <sz val="9"/>
        <rFont val="Arial"/>
        <family val="2"/>
      </rPr>
      <t xml:space="preserve"> </t>
    </r>
    <r>
      <rPr>
        <sz val="9"/>
        <rFont val="Arial"/>
        <family val="2"/>
      </rPr>
      <t>(Last, first, middle)</t>
    </r>
  </si>
  <si>
    <t>3b.   DEGREE(S)</t>
  </si>
  <si>
    <t>3h.</t>
  </si>
  <si>
    <t xml:space="preserve">  eRA Commons User Name</t>
  </si>
  <si>
    <t>3c.  POSITION TITLE</t>
  </si>
  <si>
    <r>
      <t>3d.   MAILING ADDRESS</t>
    </r>
    <r>
      <rPr>
        <i/>
        <sz val="9"/>
        <rFont val="Arial"/>
        <family val="2"/>
      </rPr>
      <t xml:space="preserve">  (Street, city, state, zip code)</t>
    </r>
  </si>
  <si>
    <t>3e.  DEPARTMENT, SERVICE, LABORATORY, OR EQUIVALENT</t>
  </si>
  <si>
    <t>3f.  MAJOR SUBDIVISION</t>
  </si>
  <si>
    <r>
      <t>3g.  TELEPHONE AND FAX</t>
    </r>
    <r>
      <rPr>
        <i/>
        <sz val="9"/>
        <rFont val="Arial"/>
        <family val="2"/>
      </rPr>
      <t xml:space="preserve">  (Area code, number and extension)</t>
    </r>
  </si>
  <si>
    <t>E-MAIL ADDRESS:</t>
  </si>
  <si>
    <t xml:space="preserve"> TEL:</t>
  </si>
  <si>
    <t xml:space="preserve">    FAX:</t>
  </si>
  <si>
    <t>4.  HUMAN SUBJECTS RESEARCH</t>
  </si>
  <si>
    <t>4a.  Research Exempt</t>
  </si>
  <si>
    <t xml:space="preserve"> If "Yes," Exemption No. </t>
  </si>
  <si>
    <t xml:space="preserve">           No</t>
  </si>
  <si>
    <t xml:space="preserve">        Yes</t>
  </si>
  <si>
    <t xml:space="preserve">          No             Yes</t>
  </si>
  <si>
    <t>4b.  Federal-Wide Assurance No.</t>
  </si>
  <si>
    <t>4c.  Clinical Trial</t>
  </si>
  <si>
    <t>4d.  NIH-defined Phase III Clinical Trial</t>
  </si>
  <si>
    <t xml:space="preserve">        No</t>
  </si>
  <si>
    <t>Yes</t>
  </si>
  <si>
    <t>5.   VERTEBRATE ANIMALS</t>
  </si>
  <si>
    <t xml:space="preserve">   No</t>
  </si>
  <si>
    <t xml:space="preserve">         Yes</t>
  </si>
  <si>
    <t>6.  DATES OF PROPOSED PERIOD OF</t>
  </si>
  <si>
    <t>7.  COSTS REQUESTED FOR INITIAL</t>
  </si>
  <si>
    <t>8.   COSTS REQUESTED FOR PROPOSED</t>
  </si>
  <si>
    <t xml:space="preserve">  </t>
  </si>
  <si>
    <r>
      <t xml:space="preserve">     SUPPORT </t>
    </r>
    <r>
      <rPr>
        <i/>
        <sz val="9"/>
        <rFont val="Arial"/>
        <family val="2"/>
      </rPr>
      <t>(month, day, year--MM/DD/YY)</t>
    </r>
  </si>
  <si>
    <t xml:space="preserve">     BUDGET PERIOD</t>
  </si>
  <si>
    <t>Through</t>
  </si>
  <si>
    <t>7a.  Direct Costs ($)</t>
  </si>
  <si>
    <t>7b.  Total Costs ($)</t>
  </si>
  <si>
    <t>8a.  Direct Costs ($)</t>
  </si>
  <si>
    <t>8b.  Total Costs ($)</t>
  </si>
  <si>
    <t>9.   APPLICANT ORGANIZATION</t>
  </si>
  <si>
    <t>10.   TYPE OF ORGANIZATION</t>
  </si>
  <si>
    <t xml:space="preserve">         Public:</t>
  </si>
  <si>
    <t xml:space="preserve"> Federal</t>
  </si>
  <si>
    <t xml:space="preserve">    State</t>
  </si>
  <si>
    <t xml:space="preserve">           Local</t>
  </si>
  <si>
    <t xml:space="preserve">         Private:</t>
  </si>
  <si>
    <t xml:space="preserve"> Private Nonprofit</t>
  </si>
  <si>
    <t xml:space="preserve">         For-profit:</t>
  </si>
  <si>
    <t xml:space="preserve"> General</t>
  </si>
  <si>
    <t xml:space="preserve">        Woman-owned</t>
  </si>
  <si>
    <t xml:space="preserve">    Socially and Economically Disadvantaged</t>
  </si>
  <si>
    <t xml:space="preserve"> 11.   ENTITY IDENTIFICATION NUMBER</t>
  </si>
  <si>
    <t>DUNS NO</t>
  </si>
  <si>
    <t>Cong. District</t>
  </si>
  <si>
    <t>13.  OFFICIAL SIGNING FOR APPLICANT ORGANIZATION</t>
  </si>
  <si>
    <t xml:space="preserve"> (In ink. "Per" signature not acceptable.)</t>
  </si>
  <si>
    <t>PHS 398 (Rev. 6/09)</t>
  </si>
  <si>
    <t xml:space="preserve">                                           Face Page  </t>
  </si>
  <si>
    <t>(515) 294-xxxx</t>
  </si>
  <si>
    <t>Ames, IA 50011-2207</t>
  </si>
  <si>
    <t>IA-004</t>
  </si>
  <si>
    <t>INPATIENT PATIENT CARE COSTS</t>
  </si>
  <si>
    <t>OUTPATIENT PATIENT CARE COSTS</t>
  </si>
  <si>
    <t>PHS 398 (Rev. 06/09)</t>
  </si>
  <si>
    <t>Use Cal, Acad, or Summer to Enter Months Devoted to Project</t>
  </si>
  <si>
    <r>
      <t xml:space="preserve">Enter Dollar Amounts Requested </t>
    </r>
    <r>
      <rPr>
        <i/>
        <sz val="8"/>
        <color indexed="8"/>
        <rFont val="Arial"/>
        <family val="2"/>
      </rPr>
      <t>(omit cents)</t>
    </r>
    <r>
      <rPr>
        <sz val="8"/>
        <color indexed="8"/>
        <rFont val="Arial"/>
        <family val="2"/>
      </rPr>
      <t xml:space="preserve"> for Salary Requested and Fringe Benefits</t>
    </r>
  </si>
  <si>
    <t>INST.BASE</t>
  </si>
  <si>
    <r>
      <t xml:space="preserve">PERSONNEL: </t>
    </r>
    <r>
      <rPr>
        <i/>
        <sz val="8"/>
        <color indexed="8"/>
        <rFont val="Arial"/>
        <family val="2"/>
      </rPr>
      <t>Salary and fringe</t>
    </r>
  </si>
  <si>
    <t>benefits. Applicant organization</t>
  </si>
  <si>
    <t>only.</t>
  </si>
  <si>
    <t>5a. Animal Welfare Assurance No.</t>
  </si>
  <si>
    <t>2nd ADDITIONAL</t>
  </si>
  <si>
    <t xml:space="preserve">YEAR OF SUPPORT </t>
  </si>
  <si>
    <t>3rd ADDITIONAL</t>
  </si>
  <si>
    <t>4th ADDITIONAL</t>
  </si>
  <si>
    <t>5th ADDITIONAL</t>
  </si>
  <si>
    <t>INPATIENT CARE COSTS</t>
  </si>
  <si>
    <t>OUTPATIENT CARE COSTS</t>
  </si>
  <si>
    <t xml:space="preserve">DIRECT CONSORTIUM/ </t>
  </si>
  <si>
    <t>F&amp;A CONSORTIUM/</t>
  </si>
  <si>
    <t>Program Director/Principal Investigator (Last, First, Middle):</t>
  </si>
  <si>
    <t xml:space="preserve">CHECKLIST </t>
  </si>
  <si>
    <r>
      <t xml:space="preserve"> TYPE OF APPLICATION</t>
    </r>
    <r>
      <rPr>
        <sz val="11"/>
        <rFont val="Arial"/>
        <family val="2"/>
      </rPr>
      <t xml:space="preserve"> </t>
    </r>
    <r>
      <rPr>
        <i/>
        <sz val="11"/>
        <rFont val="Arial"/>
        <family val="2"/>
      </rPr>
      <t>(Check all that apply.)</t>
    </r>
  </si>
  <si>
    <r>
      <t xml:space="preserve"> NEW application.  </t>
    </r>
    <r>
      <rPr>
        <i/>
        <sz val="11"/>
        <rFont val="Arial"/>
        <family val="2"/>
      </rPr>
      <t>(This application is being submitted to the PHS for the first time.)</t>
    </r>
  </si>
  <si>
    <t xml:space="preserve"> RESUBMISSION of application number:</t>
  </si>
  <si>
    <t xml:space="preserve"> (This application replaces a prior unfunded version of a new, renewal, or revision application.)</t>
  </si>
  <si>
    <t xml:space="preserve"> RENEWAL of grant number:</t>
  </si>
  <si>
    <t xml:space="preserve"> (This application is to extend a funded grant beyond its current project period.)</t>
  </si>
  <si>
    <t xml:space="preserve">  REVISION to grant number:</t>
  </si>
  <si>
    <t xml:space="preserve">  (This application is for additional funds to supplement a currently funded grant.)</t>
  </si>
  <si>
    <t xml:space="preserve">  CHANGE of program director/principal investigator.</t>
  </si>
  <si>
    <t xml:space="preserve">  Name of former program director/principal investigator:</t>
  </si>
  <si>
    <t xml:space="preserve">  CHANGE of Grantee Institution.     Name of former institution:</t>
  </si>
  <si>
    <t xml:space="preserve">  FOREIGN application </t>
  </si>
  <si>
    <t xml:space="preserve">       Domestic Grant with foreign involvement</t>
  </si>
  <si>
    <t>List Country(ies) Involved:</t>
  </si>
  <si>
    <r>
      <t xml:space="preserve">INVENTIONS AND PATENTS </t>
    </r>
    <r>
      <rPr>
        <i/>
        <sz val="11"/>
        <rFont val="Arial"/>
        <family val="2"/>
      </rPr>
      <t>(Renewal appl. only)</t>
    </r>
  </si>
  <si>
    <t xml:space="preserve">       No</t>
  </si>
  <si>
    <t xml:space="preserve">      Yes</t>
  </si>
  <si>
    <t xml:space="preserve">   If "Yes," </t>
  </si>
  <si>
    <t>Previously reported</t>
  </si>
  <si>
    <t xml:space="preserve">Not previously reported                             </t>
  </si>
  <si>
    <r>
      <t xml:space="preserve">1. PROGRAM INCOME </t>
    </r>
    <r>
      <rPr>
        <b/>
        <i/>
        <sz val="11.5"/>
        <rFont val="Arial"/>
        <family val="2"/>
      </rPr>
      <t>(See instructions.)</t>
    </r>
  </si>
  <si>
    <t xml:space="preserve">                 Budget Period</t>
  </si>
  <si>
    <t xml:space="preserve">                                    Anticipated Amount</t>
  </si>
  <si>
    <t xml:space="preserve">                              Source(s)</t>
  </si>
  <si>
    <t>N/A</t>
  </si>
  <si>
    <r>
      <t xml:space="preserve">2.  ASSURANCES/CERTIFICATIONS </t>
    </r>
    <r>
      <rPr>
        <b/>
        <i/>
        <sz val="11"/>
        <rFont val="Arial"/>
        <family val="2"/>
      </rPr>
      <t>(See instructions.)</t>
    </r>
  </si>
  <si>
    <t>In signing the application Face Page, the authorized organizational representative agrees to comply with the policies, assurances and/or certifications</t>
  </si>
  <si>
    <t xml:space="preserve">listed in the application instructions when applicable. Descriptions of individual assurances/certifications are provided in Part III and listed in Part I, 4.1 </t>
  </si>
  <si>
    <t>under item 14.  If unable to certify compliance, where applicable, provide an explanation and place it after this page.</t>
  </si>
  <si>
    <r>
      <t xml:space="preserve">3. FACILITIES AND ADMINISTRATIVE COSTS (F&amp;A)/ INDIRECT COSTS. </t>
    </r>
    <r>
      <rPr>
        <sz val="11"/>
        <rFont val="Arial"/>
        <family val="2"/>
      </rPr>
      <t>See specific instructions.</t>
    </r>
  </si>
  <si>
    <t xml:space="preserve">  DHHS Agreement dated:</t>
  </si>
  <si>
    <t xml:space="preserve">      No Facilities And Administrative Costs Requested.</t>
  </si>
  <si>
    <t xml:space="preserve">  DHHS Agreement being negotiated with</t>
  </si>
  <si>
    <t xml:space="preserve">       Regional Office.</t>
  </si>
  <si>
    <t xml:space="preserve">  No DHHS Agreement, but rate established with</t>
  </si>
  <si>
    <t xml:space="preserve">       Date</t>
  </si>
  <si>
    <r>
      <t xml:space="preserve">CALCULATION* </t>
    </r>
    <r>
      <rPr>
        <i/>
        <sz val="11"/>
        <rFont val="Arial"/>
        <family val="2"/>
      </rPr>
      <t xml:space="preserve"> (The entire grant application, including the Checklist, will be reproduced and provided to peer reviewers as confidential information.)</t>
    </r>
  </si>
  <si>
    <t xml:space="preserve"> a.  Initial budget period:</t>
  </si>
  <si>
    <t xml:space="preserve">Amount of base   $    </t>
  </si>
  <si>
    <t xml:space="preserve"> x Rate applied</t>
  </si>
  <si>
    <t xml:space="preserve"> % = F&amp;A costs</t>
  </si>
  <si>
    <t xml:space="preserve">$    </t>
  </si>
  <si>
    <t xml:space="preserve"> b.  02 year</t>
  </si>
  <si>
    <t xml:space="preserve"> c.  03 year</t>
  </si>
  <si>
    <t xml:space="preserve"> d.  04 year</t>
  </si>
  <si>
    <t xml:space="preserve"> e.  05 year</t>
  </si>
  <si>
    <t xml:space="preserve"> TOTAL F&amp;A Costs</t>
  </si>
  <si>
    <t xml:space="preserve">  Salary and wages base</t>
  </si>
  <si>
    <t xml:space="preserve">X     </t>
  </si>
  <si>
    <t>Modified total direct cost base</t>
  </si>
  <si>
    <r>
      <t xml:space="preserve">                 Other base</t>
    </r>
    <r>
      <rPr>
        <i/>
        <sz val="10"/>
        <rFont val="Arial"/>
        <family val="2"/>
      </rPr>
      <t xml:space="preserve"> (Explain)</t>
    </r>
  </si>
  <si>
    <r>
      <t xml:space="preserve">  Off-site, other special rate, or more than one rate involved</t>
    </r>
    <r>
      <rPr>
        <i/>
        <sz val="10.5"/>
        <rFont val="Arial"/>
        <family val="2"/>
      </rPr>
      <t xml:space="preserve"> (Explain)</t>
    </r>
  </si>
  <si>
    <r>
      <t xml:space="preserve">Explanation </t>
    </r>
    <r>
      <rPr>
        <i/>
        <sz val="10.5"/>
        <rFont val="Arial"/>
        <family val="2"/>
      </rPr>
      <t>(Attach separate sheet, if necessary.)</t>
    </r>
    <r>
      <rPr>
        <sz val="10.5"/>
        <rFont val="Arial"/>
        <family val="2"/>
      </rPr>
      <t>:</t>
    </r>
  </si>
  <si>
    <r>
      <t>4. DISCLOSURE PERMISSION STATEMENT:</t>
    </r>
    <r>
      <rPr>
        <sz val="11"/>
        <rFont val="Arial"/>
        <family val="2"/>
      </rPr>
      <t xml:space="preserve"> If this application does not result in an award, is the Government permitted to disclose the title of </t>
    </r>
  </si>
  <si>
    <t xml:space="preserve">your proposed project, and the name, address, telephone number and e-mail address of the official signing for the applicant organization, to </t>
  </si>
  <si>
    <t>organizations that may be interested in contacting you for further information (e.g., possible collaborations, investment)?</t>
  </si>
  <si>
    <t xml:space="preserve">    Yes</t>
  </si>
  <si>
    <t xml:space="preserve">No           </t>
  </si>
  <si>
    <t>PHS 398 (Rev.  6/09)</t>
  </si>
  <si>
    <t xml:space="preserve"> Page</t>
  </si>
  <si>
    <t>x</t>
  </si>
  <si>
    <t xml:space="preserve">Enter Rate above as a decimal (e.g., 0.25 for 25%, 0.495 </t>
  </si>
  <si>
    <t>for 49.5%</t>
  </si>
  <si>
    <t>Ames, IA 50011-xxxx</t>
  </si>
  <si>
    <t>Funds Requested</t>
  </si>
  <si>
    <t>select 1/4-time/1/2-time &gt; &gt;</t>
  </si>
  <si>
    <t>1/4-time</t>
  </si>
  <si>
    <t>Graduate Student Tuition</t>
  </si>
  <si>
    <t>Maximum</t>
  </si>
  <si>
    <t>Minimum</t>
  </si>
  <si>
    <r>
      <t>Masters Students</t>
    </r>
    <r>
      <rPr>
        <sz val="10"/>
        <rFont val="Arial"/>
        <family val="2"/>
      </rPr>
      <t xml:space="preserve"> (enter no. of students per term)</t>
    </r>
  </si>
  <si>
    <t>Summer</t>
  </si>
  <si>
    <t>Fall</t>
  </si>
  <si>
    <t>Spring</t>
  </si>
  <si>
    <r>
      <t>PhD Students</t>
    </r>
    <r>
      <rPr>
        <sz val="10"/>
        <rFont val="Arial"/>
        <family val="2"/>
      </rPr>
      <t xml:space="preserve"> (enter no. of students per term)</t>
    </r>
  </si>
  <si>
    <t>1/2-time</t>
  </si>
  <si>
    <t>Masters - Min</t>
  </si>
  <si>
    <t>Masters-Max</t>
  </si>
  <si>
    <t>PhD - Min</t>
  </si>
  <si>
    <t>PhD - Max</t>
  </si>
  <si>
    <t>esc. Rate</t>
  </si>
  <si>
    <t>Fall 2017</t>
  </si>
  <si>
    <t>Fall 2018</t>
  </si>
  <si>
    <t>Spring 2017</t>
  </si>
  <si>
    <t>Spring 2018</t>
  </si>
  <si>
    <t>Summer 2017</t>
  </si>
  <si>
    <t>Summer 2018</t>
  </si>
  <si>
    <t>Total Tuition - Engineering</t>
  </si>
  <si>
    <t>Total Tuition - Non-Engineering</t>
  </si>
  <si>
    <t>Monthly Salary</t>
  </si>
  <si>
    <t>Cal Mo</t>
  </si>
  <si>
    <t>SM</t>
  </si>
  <si>
    <t>AY</t>
  </si>
  <si>
    <t>CM</t>
  </si>
  <si>
    <r>
      <t xml:space="preserve">Project </t>
    </r>
    <r>
      <rPr>
        <sz val="12"/>
        <color indexed="10"/>
        <rFont val="Arial"/>
        <family val="2"/>
      </rPr>
      <t>Direct</t>
    </r>
    <r>
      <rPr>
        <sz val="12"/>
        <rFont val="Arial"/>
        <family val="2"/>
      </rPr>
      <t xml:space="preserve"> total</t>
    </r>
  </si>
  <si>
    <r>
      <t xml:space="preserve">Project </t>
    </r>
    <r>
      <rPr>
        <sz val="12"/>
        <color indexed="10"/>
        <rFont val="Arial"/>
        <family val="2"/>
      </rPr>
      <t>F&amp;A</t>
    </r>
    <r>
      <rPr>
        <sz val="12"/>
        <rFont val="Arial"/>
        <family val="2"/>
      </rPr>
      <t xml:space="preserve"> total</t>
    </r>
  </si>
  <si>
    <t>Months: Either SM/AY or CM</t>
  </si>
  <si>
    <t>Faculty: Enter Either Summer (SM) Academic (AY) or Calendar (CM) Months</t>
  </si>
  <si>
    <t>Indirect Cost Categories:</t>
  </si>
  <si>
    <t>On Campus Instruction</t>
  </si>
  <si>
    <t>On-Campus Other Sponsored Activities</t>
  </si>
  <si>
    <t>Off-Campus All Programs</t>
  </si>
  <si>
    <t>Sponsor:</t>
  </si>
  <si>
    <t xml:space="preserve">Title: </t>
  </si>
  <si>
    <t xml:space="preserve">PI Name: </t>
  </si>
  <si>
    <t>Period of Performance:</t>
  </si>
  <si>
    <t>Account Number:</t>
  </si>
  <si>
    <t>Budget Categories</t>
  </si>
  <si>
    <t>Budget Code</t>
  </si>
  <si>
    <t>Amount</t>
  </si>
  <si>
    <t>Salary/Hourly</t>
  </si>
  <si>
    <t>Payroll Benefits</t>
  </si>
  <si>
    <t>Travel Domestic</t>
  </si>
  <si>
    <t>Travel Foreign</t>
  </si>
  <si>
    <t>Student Tuition</t>
  </si>
  <si>
    <t>Subcontracts</t>
  </si>
  <si>
    <t>Subject to IDC</t>
  </si>
  <si>
    <t>Not Subejct to IDC</t>
  </si>
  <si>
    <t>Other Direct Costs</t>
  </si>
  <si>
    <t>Telecom Charges</t>
  </si>
  <si>
    <t>Computer Usage</t>
  </si>
  <si>
    <t>Printing/Copying</t>
  </si>
  <si>
    <t>Services/Honoraria</t>
  </si>
  <si>
    <t>Postage</t>
  </si>
  <si>
    <t xml:space="preserve">Other  </t>
  </si>
  <si>
    <t>Indirect Costs</t>
  </si>
  <si>
    <t>0108</t>
  </si>
  <si>
    <t>0130</t>
  </si>
  <si>
    <t>0710</t>
  </si>
  <si>
    <t>0215</t>
  </si>
  <si>
    <t>0216</t>
  </si>
  <si>
    <t>0610</t>
  </si>
  <si>
    <t>0410</t>
  </si>
  <si>
    <t>0396</t>
  </si>
  <si>
    <t>0376</t>
  </si>
  <si>
    <t>0340</t>
  </si>
  <si>
    <t>0353</t>
  </si>
  <si>
    <t>0373</t>
  </si>
  <si>
    <t>0302</t>
  </si>
  <si>
    <t>0379</t>
  </si>
  <si>
    <t>0630</t>
  </si>
  <si>
    <t>0642</t>
  </si>
  <si>
    <t>NIH</t>
  </si>
  <si>
    <t>Sub to IDC</t>
  </si>
  <si>
    <t>Not Sub to IDC</t>
  </si>
  <si>
    <t xml:space="preserve">           Tuition Costs</t>
  </si>
  <si>
    <t>Fall 2019</t>
  </si>
  <si>
    <t>Spring 2019</t>
  </si>
  <si>
    <t>Summer 2019</t>
  </si>
  <si>
    <t>Okay to Upload</t>
  </si>
  <si>
    <t>Fall 2020</t>
  </si>
  <si>
    <t>Fall 2021</t>
  </si>
  <si>
    <t>Spring 2020</t>
  </si>
  <si>
    <t>Spring 2021</t>
  </si>
  <si>
    <t>Summer 2020</t>
  </si>
  <si>
    <t>Summer 2021</t>
  </si>
  <si>
    <t>Engineering &amp; Architecture students</t>
  </si>
  <si>
    <t>Business &amp; STB</t>
  </si>
  <si>
    <r>
      <t xml:space="preserve">Graduate Student Tuition </t>
    </r>
    <r>
      <rPr>
        <b/>
        <sz val="12"/>
        <rFont val="Arial"/>
        <family val="2"/>
      </rPr>
      <t>(most Majors)</t>
    </r>
  </si>
  <si>
    <t>Graduate Student Tuition (most majors)</t>
  </si>
  <si>
    <r>
      <t xml:space="preserve">Graduate Student Tuition </t>
    </r>
    <r>
      <rPr>
        <b/>
        <sz val="12"/>
        <rFont val="Arial"/>
        <family val="2"/>
      </rPr>
      <t>(Engineering &amp; Architecture)</t>
    </r>
  </si>
  <si>
    <t>Engineering &amp; Architecture Students Only</t>
  </si>
  <si>
    <r>
      <t xml:space="preserve">Graduate Student Tuition </t>
    </r>
    <r>
      <rPr>
        <b/>
        <sz val="12"/>
        <rFont val="Arial"/>
        <family val="2"/>
      </rPr>
      <t>(Business &amp; STB)</t>
    </r>
  </si>
  <si>
    <t>Business and STB Students Only</t>
  </si>
  <si>
    <t>(most majors)</t>
  </si>
  <si>
    <t>(Engineering &amp; Architecture)</t>
  </si>
  <si>
    <t>(Business &amp; STB)</t>
  </si>
  <si>
    <t>Spring 2022</t>
  </si>
  <si>
    <t>Rebecca Musselman</t>
  </si>
  <si>
    <t>Fall 2022</t>
  </si>
  <si>
    <t>Summer 2022</t>
  </si>
  <si>
    <t>Spring 2023</t>
  </si>
  <si>
    <t xml:space="preserve">Andrea Rich </t>
  </si>
  <si>
    <t>Form Approved Through 6/30/2016</t>
  </si>
  <si>
    <r>
      <t xml:space="preserve">Alterations/Renovations - </t>
    </r>
    <r>
      <rPr>
        <i/>
        <sz val="10"/>
        <rFont val="Arial"/>
        <family val="2"/>
      </rPr>
      <t>Itemize</t>
    </r>
  </si>
  <si>
    <r>
      <t xml:space="preserve">Travel - </t>
    </r>
    <r>
      <rPr>
        <i/>
        <sz val="10"/>
        <rFont val="Arial"/>
        <family val="2"/>
      </rPr>
      <t>Itemize</t>
    </r>
  </si>
  <si>
    <r>
      <t>Other -</t>
    </r>
    <r>
      <rPr>
        <b/>
        <i/>
        <sz val="10"/>
        <rFont val="Arial"/>
        <family val="2"/>
      </rPr>
      <t xml:space="preserve"> </t>
    </r>
    <r>
      <rPr>
        <i/>
        <sz val="10"/>
        <rFont val="Arial"/>
        <family val="2"/>
      </rPr>
      <t>Itemize</t>
    </r>
  </si>
  <si>
    <t>Fall 2023</t>
  </si>
  <si>
    <t>Spring 2024</t>
  </si>
  <si>
    <t>Summer 2023</t>
  </si>
  <si>
    <t>Fall 2024</t>
  </si>
  <si>
    <t>Summer 2024</t>
  </si>
  <si>
    <r>
      <t xml:space="preserve">Graduate Student Tuition </t>
    </r>
    <r>
      <rPr>
        <b/>
        <sz val="12"/>
        <rFont val="Arial"/>
        <family val="2"/>
      </rPr>
      <t>(Specific Graduate Departments)</t>
    </r>
  </si>
  <si>
    <t>*Specific Graduate Departments</t>
  </si>
  <si>
    <t>*Animal Sci, Comp Sci, GDCB, Microbiology, Plant Path, BBMB, EEOB, Industrial Design, NREM</t>
  </si>
  <si>
    <t>Specific Graduate Departments</t>
  </si>
  <si>
    <t>(Specific Grad Depts)</t>
  </si>
  <si>
    <t>Eff 2/9/2017</t>
  </si>
  <si>
    <t>On-Campus Organized Research FY17-18</t>
  </si>
  <si>
    <t>On-Campus Organized Research FY19-21</t>
  </si>
  <si>
    <t>FY</t>
  </si>
  <si>
    <t>FY17</t>
  </si>
  <si>
    <t>FY18</t>
  </si>
  <si>
    <t>FY19</t>
  </si>
  <si>
    <t>FY20</t>
  </si>
  <si>
    <t>FY21</t>
  </si>
  <si>
    <t>FY22</t>
  </si>
  <si>
    <t xml:space="preserve">Select FY </t>
  </si>
  <si>
    <t>FY23</t>
  </si>
  <si>
    <t>FY24</t>
  </si>
  <si>
    <t>FY25</t>
  </si>
  <si>
    <t>FY26</t>
  </si>
  <si>
    <t>NIH Salary Cap policy @ https://grants.nih.gov/grants/guide/notice-files/NOT-OD-17-049.html</t>
  </si>
  <si>
    <t>Salary cap for Post Docs https://grants.nih.gov/grants/guide/notice-files/NOT-OD-17-003.html</t>
  </si>
  <si>
    <t>Salary Cap for Graduate Students @ https://grants.nih.gov/grants/guide/notice-files/NOT-OD-02-017.html</t>
  </si>
  <si>
    <t>Updated 4/17/2017</t>
  </si>
  <si>
    <t>Tool to Calculate Split F&amp;A Rates for a Project Period</t>
  </si>
  <si>
    <t>INSTRUCTIONS:</t>
  </si>
  <si>
    <t>Use this tool to help you calculate split F&amp;A for budgeting purposes. By entering the Project Budget amount, and start and end dates, this tool will calculate the correct F&amp;A rate for the period.</t>
  </si>
  <si>
    <r>
      <t xml:space="preserve">The only fields needed are the </t>
    </r>
    <r>
      <rPr>
        <b/>
        <sz val="10"/>
        <rFont val="Arial"/>
        <family val="2"/>
      </rPr>
      <t>Start Date, End Date</t>
    </r>
    <r>
      <rPr>
        <sz val="10"/>
        <rFont val="Arial"/>
        <family val="2"/>
      </rPr>
      <t xml:space="preserve">, and the </t>
    </r>
    <r>
      <rPr>
        <b/>
        <sz val="10"/>
        <rFont val="Arial"/>
        <family val="2"/>
      </rPr>
      <t>Modified Total Direct Cost Amount</t>
    </r>
    <r>
      <rPr>
        <sz val="10"/>
        <rFont val="Arial"/>
        <family val="2"/>
      </rPr>
      <t>. This tool will calculate the F&amp;A rate and amount based on the reference table shown.</t>
    </r>
  </si>
  <si>
    <t>Please be aware that if your Project period Start and End dates span multiple F&amp;A effective dates, you will need to add the additional effective dates and rates to the Project Activity&gt;FA Rates tab in EFS.</t>
  </si>
  <si>
    <r>
      <t xml:space="preserve">See the job aid: </t>
    </r>
    <r>
      <rPr>
        <b/>
        <sz val="10"/>
        <rFont val="Arial"/>
        <family val="2"/>
      </rPr>
      <t>Setting up F&amp;A on a Project Using Split Rates</t>
    </r>
  </si>
  <si>
    <t>This tool is set up to accommodate up to 7 separate Project Budget periods and will provide a Grand Total of all budget periods.</t>
  </si>
  <si>
    <t>Total MTDC</t>
  </si>
  <si>
    <t>PROJECT GRAND TOTALS:</t>
  </si>
  <si>
    <t>1st Budget Period</t>
  </si>
  <si>
    <t>Enter</t>
  </si>
  <si>
    <t>Calculated</t>
  </si>
  <si>
    <t>Enter Amount:</t>
  </si>
  <si>
    <t>Reference Only 
Rate Table:</t>
  </si>
  <si>
    <t>Dates:</t>
  </si>
  <si>
    <t>Total # Months</t>
  </si>
  <si>
    <t>Total MTDC for the Period</t>
  </si>
  <si>
    <t>MTDC Daily Rate</t>
  </si>
  <si>
    <t>Days at Rate</t>
  </si>
  <si>
    <t>Months at Rate</t>
  </si>
  <si>
    <t>Use Rate</t>
  </si>
  <si>
    <t>F&amp;A Amount</t>
  </si>
  <si>
    <t>MTDC Amount</t>
  </si>
  <si>
    <t>Use F&amp;A Rate Effective Date</t>
  </si>
  <si>
    <t>F&amp;A Rate End</t>
  </si>
  <si>
    <t>F&amp;A Rate %</t>
  </si>
  <si>
    <t>Project Start Date</t>
  </si>
  <si>
    <t>Project End Date</t>
  </si>
  <si>
    <t>Totals:</t>
  </si>
  <si>
    <t>2nd Budget Period</t>
  </si>
  <si>
    <t>3rd Budget Period</t>
  </si>
  <si>
    <t>4th Budget Period</t>
  </si>
  <si>
    <t>5th Budget Period</t>
  </si>
  <si>
    <t>&lt;&lt; Start Date of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</si>
</sst>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
    <numFmt numFmtId="165" formatCode="mm/dd/yy"/>
    <numFmt numFmtId="166" formatCode="General_)"/>
    <numFmt numFmtId="167" formatCode="&quot;$&quot;#,##0"/>
    <numFmt numFmtId="168" formatCode="&quot;$&quot;#,##0\ ;\(&quot;$&quot;#,##0\)"/>
    <numFmt numFmtId="169" formatCode="mm/dd/yy\ h:mm"/>
    <numFmt numFmtId="170" formatCode="00"/>
    <numFmt numFmtId="171" formatCode="mm/dd/yy\ h:mm:ss"/>
    <numFmt numFmtId="172" formatCode="mm/dd/yy;@"/>
    <numFmt numFmtId="173" formatCode="&quot;$&quot;#,##0.00\ ;\(&quot;$&quot;#,##0.00\)"/>
    <numFmt numFmtId="174" formatCode="_(* #,##0.000_);_(* \(#,##0.000\);_(* &quot;-&quot;???_);_(@_)"/>
  </numFmts>
  <fonts count="14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b/>
      <sz val="14"/>
      <name val="Arial"/>
      <family val="2"/>
    </font>
    <font>
      <sz val="14"/>
      <name val="Arial"/>
      <family val="2"/>
    </font>
    <font>
      <sz val="10"/>
      <color indexed="9"/>
      <name val="Arial"/>
      <family val="2"/>
    </font>
    <font>
      <sz val="20"/>
      <name val="Arial"/>
      <family val="2"/>
    </font>
    <font>
      <b/>
      <sz val="10"/>
      <color indexed="9"/>
      <name val="Arial"/>
      <family val="2"/>
    </font>
    <font>
      <sz val="12"/>
      <name val="Arial"/>
      <family val="2"/>
    </font>
    <font>
      <sz val="10"/>
      <color indexed="10"/>
      <name val="Arial"/>
      <family val="2"/>
    </font>
    <font>
      <b/>
      <sz val="12"/>
      <color indexed="10"/>
      <name val="Arial"/>
      <family val="2"/>
    </font>
    <font>
      <sz val="12"/>
      <color indexed="10"/>
      <name val="Arial"/>
      <family val="2"/>
    </font>
    <font>
      <b/>
      <sz val="10"/>
      <color indexed="81"/>
      <name val="Tahoma"/>
      <family val="2"/>
    </font>
    <font>
      <sz val="11.2"/>
      <name val="Arial"/>
      <family val="2"/>
    </font>
    <font>
      <sz val="14"/>
      <color indexed="10"/>
      <name val="Arial"/>
      <family val="2"/>
    </font>
    <font>
      <sz val="10"/>
      <name val="Geneva"/>
    </font>
    <font>
      <sz val="7"/>
      <name val="Arial"/>
      <family val="2"/>
    </font>
    <font>
      <sz val="8"/>
      <name val="Arial"/>
      <family val="2"/>
    </font>
    <font>
      <sz val="9"/>
      <name val="Arial"/>
      <family val="2"/>
    </font>
    <font>
      <i/>
      <sz val="8"/>
      <name val="Arial"/>
      <family val="2"/>
    </font>
    <font>
      <b/>
      <sz val="8"/>
      <name val="Arial"/>
      <family val="2"/>
    </font>
    <font>
      <sz val="8"/>
      <name val="Arial"/>
      <family val="2"/>
    </font>
    <font>
      <sz val="10"/>
      <name val="Arial"/>
      <family val="2"/>
    </font>
    <font>
      <u/>
      <sz val="10"/>
      <color indexed="12"/>
      <name val="Arial"/>
      <family val="2"/>
    </font>
    <font>
      <b/>
      <sz val="10"/>
      <color indexed="81"/>
      <name val="Times New Roman"/>
      <family val="1"/>
    </font>
    <font>
      <sz val="10"/>
      <color indexed="81"/>
      <name val="Times New Roman"/>
      <family val="1"/>
    </font>
    <font>
      <sz val="11"/>
      <name val="Arial"/>
      <family val="2"/>
    </font>
    <font>
      <b/>
      <sz val="10"/>
      <color indexed="10"/>
      <name val="Times New Roman"/>
      <family val="1"/>
    </font>
    <font>
      <b/>
      <sz val="14"/>
      <color indexed="10"/>
      <name val="Arial"/>
      <family val="2"/>
    </font>
    <font>
      <sz val="8"/>
      <color indexed="22"/>
      <name val="Arial"/>
      <family val="2"/>
    </font>
    <font>
      <b/>
      <sz val="10"/>
      <color indexed="22"/>
      <name val="Arial"/>
      <family val="2"/>
    </font>
    <font>
      <sz val="10"/>
      <color indexed="22"/>
      <name val="Arial"/>
      <family val="2"/>
    </font>
    <font>
      <sz val="10"/>
      <name val="Courier"/>
      <family val="3"/>
    </font>
    <font>
      <sz val="9"/>
      <name val="Geneva"/>
    </font>
    <font>
      <sz val="8"/>
      <name val="Helvetica"/>
      <family val="2"/>
    </font>
    <font>
      <i/>
      <u/>
      <sz val="6"/>
      <name val="Helvetica"/>
      <family val="2"/>
    </font>
    <font>
      <sz val="7"/>
      <name val="Helvetica"/>
      <family val="2"/>
    </font>
    <font>
      <b/>
      <sz val="14"/>
      <name val="Helvetica"/>
      <family val="2"/>
    </font>
    <font>
      <b/>
      <sz val="8"/>
      <name val="Helvetica"/>
      <family val="2"/>
    </font>
    <font>
      <sz val="11"/>
      <name val="Times New Roman"/>
      <family val="1"/>
    </font>
    <font>
      <sz val="10"/>
      <name val="Times New Roman"/>
      <family val="1"/>
    </font>
    <font>
      <sz val="12"/>
      <name val="Times New Roman"/>
      <family val="1"/>
    </font>
    <font>
      <b/>
      <sz val="12"/>
      <name val="Arial"/>
      <family val="2"/>
    </font>
    <font>
      <sz val="12"/>
      <color indexed="8"/>
      <name val="Arial"/>
      <family val="2"/>
    </font>
    <font>
      <sz val="10"/>
      <color indexed="8"/>
      <name val="Arial"/>
      <family val="2"/>
    </font>
    <font>
      <b/>
      <sz val="10"/>
      <color indexed="8"/>
      <name val="Arial"/>
      <family val="2"/>
    </font>
    <font>
      <u/>
      <sz val="10"/>
      <color indexed="12"/>
      <name val="Arial"/>
      <family val="2"/>
    </font>
    <font>
      <sz val="9"/>
      <name val="Helvetica"/>
      <family val="2"/>
    </font>
    <font>
      <i/>
      <sz val="9"/>
      <name val="Arial"/>
      <family val="2"/>
    </font>
    <font>
      <b/>
      <sz val="9"/>
      <name val="Arial"/>
      <family val="2"/>
    </font>
    <font>
      <sz val="11"/>
      <name val="Arial"/>
      <family val="2"/>
    </font>
    <font>
      <sz val="12"/>
      <name val="Arial"/>
      <family val="2"/>
    </font>
    <font>
      <sz val="10"/>
      <color indexed="8"/>
      <name val="Arial"/>
      <family val="2"/>
    </font>
    <font>
      <sz val="8"/>
      <color indexed="8"/>
      <name val="Arial"/>
      <family val="2"/>
    </font>
    <font>
      <i/>
      <sz val="8"/>
      <color indexed="8"/>
      <name val="Arial"/>
      <family val="2"/>
    </font>
    <font>
      <i/>
      <sz val="10"/>
      <color indexed="8"/>
      <name val="Arial"/>
      <family val="2"/>
    </font>
    <font>
      <b/>
      <sz val="12"/>
      <color indexed="8"/>
      <name val="Arial"/>
      <family val="2"/>
    </font>
    <font>
      <u/>
      <sz val="8"/>
      <color indexed="8"/>
      <name val="Arial"/>
      <family val="2"/>
    </font>
    <font>
      <b/>
      <sz val="12"/>
      <color indexed="8"/>
      <name val="Arial"/>
      <family val="2"/>
    </font>
    <font>
      <b/>
      <sz val="9"/>
      <color indexed="81"/>
      <name val="Tahoma"/>
      <family val="2"/>
    </font>
    <font>
      <b/>
      <sz val="9"/>
      <color indexed="10"/>
      <name val="Tahoma"/>
      <family val="2"/>
    </font>
    <font>
      <sz val="9"/>
      <color indexed="81"/>
      <name val="Tahoma"/>
      <family val="2"/>
    </font>
    <font>
      <b/>
      <sz val="10"/>
      <color indexed="8"/>
      <name val="Arial"/>
      <family val="2"/>
    </font>
    <font>
      <sz val="8"/>
      <color indexed="81"/>
      <name val="Tahoma"/>
      <family val="2"/>
    </font>
    <font>
      <b/>
      <sz val="12"/>
      <color indexed="51"/>
      <name val="Tahoma"/>
      <family val="2"/>
    </font>
    <font>
      <b/>
      <sz val="12"/>
      <color indexed="9"/>
      <name val="Tahoma"/>
      <family val="2"/>
    </font>
    <font>
      <b/>
      <sz val="8"/>
      <color indexed="81"/>
      <name val="Tahoma"/>
      <family val="2"/>
    </font>
    <font>
      <b/>
      <sz val="8"/>
      <color indexed="10"/>
      <name val="Tahoma"/>
      <family val="2"/>
    </font>
    <font>
      <b/>
      <sz val="12"/>
      <name val="Arial"/>
      <family val="2"/>
    </font>
    <font>
      <i/>
      <sz val="12"/>
      <name val="Arial"/>
      <family val="2"/>
    </font>
    <font>
      <sz val="12"/>
      <color indexed="9"/>
      <name val="Arial"/>
      <family val="2"/>
    </font>
    <font>
      <i/>
      <sz val="10"/>
      <name val="Arial"/>
      <family val="2"/>
    </font>
    <font>
      <b/>
      <sz val="14"/>
      <name val="Arial"/>
      <family val="2"/>
    </font>
    <font>
      <sz val="13"/>
      <name val="Arial"/>
      <family val="2"/>
    </font>
    <font>
      <b/>
      <sz val="13"/>
      <name val="Arial"/>
      <family val="2"/>
    </font>
    <font>
      <sz val="10"/>
      <color indexed="10"/>
      <name val="Times New Roman"/>
      <family val="1"/>
    </font>
    <font>
      <sz val="9"/>
      <color indexed="12"/>
      <name val="Arial"/>
      <family val="2"/>
    </font>
    <font>
      <u/>
      <sz val="12"/>
      <color indexed="12"/>
      <name val="Arial"/>
      <family val="2"/>
    </font>
    <font>
      <b/>
      <sz val="11"/>
      <color indexed="8"/>
      <name val="Arial"/>
      <family val="2"/>
    </font>
    <font>
      <sz val="11"/>
      <color indexed="8"/>
      <name val="Arial"/>
      <family val="2"/>
    </font>
    <font>
      <sz val="8"/>
      <color indexed="12"/>
      <name val="Helvetica"/>
      <family val="2"/>
    </font>
    <font>
      <b/>
      <sz val="9"/>
      <name val="Helvetica"/>
      <family val="2"/>
    </font>
    <font>
      <b/>
      <i/>
      <sz val="12"/>
      <name val="Arial"/>
      <family val="2"/>
    </font>
    <font>
      <b/>
      <sz val="12"/>
      <name val="Times New Roman"/>
      <family val="1"/>
    </font>
    <font>
      <b/>
      <i/>
      <u/>
      <sz val="8"/>
      <name val="Helvetica"/>
      <family val="2"/>
    </font>
    <font>
      <sz val="8"/>
      <color indexed="32"/>
      <name val="Helvetica"/>
      <family val="2"/>
    </font>
    <font>
      <b/>
      <sz val="7"/>
      <name val="Arial"/>
      <family val="2"/>
    </font>
    <font>
      <b/>
      <sz val="8"/>
      <color indexed="10"/>
      <name val="Helvetica"/>
      <family val="2"/>
    </font>
    <font>
      <b/>
      <sz val="8"/>
      <color indexed="8"/>
      <name val="Helvetica"/>
      <family val="2"/>
    </font>
    <font>
      <b/>
      <sz val="8"/>
      <color indexed="12"/>
      <name val="Helvetica"/>
      <family val="2"/>
    </font>
    <font>
      <b/>
      <sz val="8"/>
      <color indexed="14"/>
      <name val="Helvetica"/>
      <family val="2"/>
    </font>
    <font>
      <b/>
      <sz val="8"/>
      <color indexed="18"/>
      <name val="Helvetica"/>
      <family val="2"/>
    </font>
    <font>
      <sz val="8"/>
      <color indexed="10"/>
      <name val="Helvetica"/>
      <family val="2"/>
    </font>
    <font>
      <sz val="10"/>
      <name val="Courier"/>
      <family val="3"/>
    </font>
    <font>
      <i/>
      <u/>
      <sz val="6"/>
      <name val="Arial"/>
      <family val="2"/>
    </font>
    <font>
      <sz val="10"/>
      <color indexed="10"/>
      <name val="MS Sans Serif"/>
      <family val="2"/>
    </font>
    <font>
      <b/>
      <sz val="16"/>
      <name val="Arial"/>
      <family val="2"/>
    </font>
    <font>
      <sz val="10"/>
      <name val="MS Sans Serif"/>
      <family val="2"/>
    </font>
    <font>
      <b/>
      <sz val="11"/>
      <name val="Arial"/>
      <family val="2"/>
    </font>
    <font>
      <i/>
      <sz val="11"/>
      <name val="Arial"/>
      <family val="2"/>
    </font>
    <font>
      <b/>
      <sz val="11.5"/>
      <name val="Arial"/>
      <family val="2"/>
    </font>
    <font>
      <b/>
      <i/>
      <sz val="11.5"/>
      <name val="Arial"/>
      <family val="2"/>
    </font>
    <font>
      <b/>
      <sz val="8"/>
      <name val="MS Sans Serif"/>
      <family val="2"/>
    </font>
    <font>
      <sz val="12.5"/>
      <name val="Arial"/>
      <family val="2"/>
    </font>
    <font>
      <sz val="9.5"/>
      <name val="Arial"/>
      <family val="2"/>
    </font>
    <font>
      <b/>
      <i/>
      <sz val="11"/>
      <name val="Arial"/>
      <family val="2"/>
    </font>
    <font>
      <sz val="7.5"/>
      <name val="Arial"/>
      <family val="2"/>
    </font>
    <font>
      <sz val="8"/>
      <name val="MS Sans Serif"/>
      <family val="2"/>
    </font>
    <font>
      <sz val="11"/>
      <name val="Helvetica"/>
      <family val="2"/>
    </font>
    <font>
      <u/>
      <sz val="11"/>
      <name val="Arial"/>
      <family val="2"/>
    </font>
    <font>
      <sz val="10.5"/>
      <name val="Arial"/>
      <family val="2"/>
    </font>
    <font>
      <i/>
      <sz val="10.5"/>
      <name val="Arial"/>
      <family val="2"/>
    </font>
    <font>
      <sz val="10"/>
      <color rgb="FFFF0000"/>
      <name val="Arial"/>
      <family val="2"/>
    </font>
    <font>
      <b/>
      <sz val="11"/>
      <color indexed="10"/>
      <name val="Arial"/>
      <family val="2"/>
    </font>
    <font>
      <b/>
      <u/>
      <sz val="11"/>
      <color indexed="8"/>
      <name val="Arial"/>
      <family val="2"/>
    </font>
    <font>
      <b/>
      <sz val="8"/>
      <color indexed="22"/>
      <name val="Arial"/>
      <family val="2"/>
    </font>
    <font>
      <u/>
      <sz val="6.8"/>
      <color indexed="12"/>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0"/>
      <name val="Arial"/>
      <family val="2"/>
    </font>
    <font>
      <u/>
      <sz val="8.5"/>
      <color indexed="12"/>
      <name val="Arial"/>
      <family val="2"/>
    </font>
    <font>
      <sz val="8"/>
      <color theme="1"/>
      <name val="Arial"/>
      <family val="2"/>
    </font>
    <font>
      <sz val="12"/>
      <color theme="1"/>
      <name val="Arial"/>
      <family val="2"/>
    </font>
    <font>
      <b/>
      <i/>
      <sz val="10"/>
      <name val="Arial"/>
      <family val="2"/>
    </font>
    <font>
      <sz val="10"/>
      <color theme="0"/>
      <name val="Arial"/>
      <family val="2"/>
    </font>
    <font>
      <sz val="10"/>
      <color indexed="12"/>
      <name val="Arial"/>
      <family val="2"/>
    </font>
    <font>
      <sz val="10"/>
      <color theme="0" tint="-0.14999847407452621"/>
      <name val="Arial"/>
      <family val="2"/>
    </font>
  </fonts>
  <fills count="4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gray0625"/>
    </fill>
    <fill>
      <patternFill patternType="solid">
        <fgColor indexed="42"/>
        <bgColor indexed="64"/>
      </patternFill>
    </fill>
    <fill>
      <patternFill patternType="gray0625">
        <bgColor indexed="9"/>
      </patternFill>
    </fill>
    <fill>
      <patternFill patternType="solid">
        <fgColor indexed="22"/>
        <bgColor indexed="64"/>
      </patternFill>
    </fill>
    <fill>
      <patternFill patternType="solid">
        <fgColor indexed="49"/>
        <bgColor indexed="64"/>
      </patternFill>
    </fill>
    <fill>
      <patternFill patternType="solid">
        <fgColor indexed="4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bgColor indexed="64"/>
      </patternFill>
    </fill>
    <fill>
      <patternFill patternType="solid">
        <fgColor rgb="FF92D05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4.9989318521683403E-2"/>
        <bgColor indexed="64"/>
      </patternFill>
    </fill>
  </fills>
  <borders count="55">
    <border>
      <left/>
      <right/>
      <top/>
      <bottom/>
      <diagonal/>
    </border>
    <border>
      <left/>
      <right/>
      <top style="double">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64"/>
      </top>
      <bottom style="double">
        <color indexed="64"/>
      </bottom>
      <diagonal/>
    </border>
    <border>
      <left style="medium">
        <color auto="1"/>
      </left>
      <right style="medium">
        <color auto="1"/>
      </right>
      <top/>
      <bottom style="medium">
        <color auto="1"/>
      </bottom>
      <diagonal/>
    </border>
    <border>
      <left style="medium">
        <color auto="1"/>
      </left>
      <right/>
      <top/>
      <bottom style="thin">
        <color auto="1"/>
      </bottom>
      <diagonal/>
    </border>
    <border>
      <left style="medium">
        <color auto="1"/>
      </left>
      <right style="medium">
        <color auto="1"/>
      </right>
      <top style="medium">
        <color auto="1"/>
      </top>
      <bottom style="medium">
        <color auto="1"/>
      </bottom>
      <diagonal/>
    </border>
  </borders>
  <cellStyleXfs count="120">
    <xf numFmtId="0" fontId="0" fillId="0" borderId="0"/>
    <xf numFmtId="43" fontId="4" fillId="0" borderId="0" applyFont="0" applyFill="0" applyBorder="0" applyAlignment="0" applyProtection="0"/>
    <xf numFmtId="3" fontId="33" fillId="0" borderId="0" applyFont="0" applyFill="0" applyBorder="0" applyAlignment="0" applyProtection="0"/>
    <xf numFmtId="44" fontId="4" fillId="0" borderId="0" applyFont="0" applyFill="0" applyBorder="0" applyAlignment="0" applyProtection="0"/>
    <xf numFmtId="168" fontId="33" fillId="0" borderId="0" applyFont="0" applyFill="0" applyBorder="0" applyAlignment="0" applyProtection="0"/>
    <xf numFmtId="0" fontId="33" fillId="0" borderId="0" applyFont="0" applyFill="0" applyBorder="0" applyAlignment="0" applyProtection="0"/>
    <xf numFmtId="2"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alignment vertical="top"/>
      <protection locked="0"/>
    </xf>
    <xf numFmtId="0" fontId="33" fillId="0" borderId="0"/>
    <xf numFmtId="0" fontId="37" fillId="0" borderId="0" applyProtection="0"/>
    <xf numFmtId="9" fontId="4" fillId="0" borderId="0" applyFont="0" applyFill="0" applyBorder="0" applyAlignment="0" applyProtection="0"/>
    <xf numFmtId="0" fontId="33" fillId="0" borderId="1" applyNumberFormat="0" applyFont="0" applyFill="0" applyAlignment="0" applyProtection="0"/>
    <xf numFmtId="166" fontId="36" fillId="0" borderId="0"/>
    <xf numFmtId="0" fontId="4" fillId="0" borderId="0"/>
    <xf numFmtId="166" fontId="97" fillId="0" borderId="0"/>
    <xf numFmtId="0" fontId="19" fillId="0" borderId="0"/>
    <xf numFmtId="0" fontId="99" fillId="0" borderId="0"/>
    <xf numFmtId="0" fontId="101"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0" borderId="0" applyNumberFormat="0" applyFill="0" applyBorder="0" applyAlignment="0" applyProtection="0">
      <alignment vertical="top"/>
      <protection locked="0"/>
    </xf>
    <xf numFmtId="9" fontId="4" fillId="0" borderId="0" applyFont="0" applyFill="0" applyBorder="0" applyAlignment="0" applyProtection="0"/>
    <xf numFmtId="9" fontId="4" fillId="0" borderId="0" applyFont="0" applyFill="0" applyBorder="0" applyAlignment="0" applyProtection="0"/>
    <xf numFmtId="0" fontId="33" fillId="0" borderId="1" applyNumberFormat="0" applyFont="0" applyFill="0" applyAlignment="0" applyProtection="0"/>
    <xf numFmtId="0" fontId="33" fillId="0" borderId="0"/>
    <xf numFmtId="10" fontId="33" fillId="0" borderId="0" applyFont="0" applyFill="0" applyBorder="0" applyAlignment="0" applyProtection="0"/>
    <xf numFmtId="173" fontId="33" fillId="0" borderId="0" applyFont="0" applyFill="0" applyBorder="0" applyAlignment="0" applyProtection="0"/>
    <xf numFmtId="0" fontId="119" fillId="0" borderId="0" applyNumberFormat="0" applyFill="0" applyBorder="0" applyAlignment="0" applyProtection="0"/>
    <xf numFmtId="0" fontId="34" fillId="0" borderId="0" applyNumberFormat="0" applyFill="0" applyBorder="0" applyAlignment="0" applyProtection="0"/>
    <xf numFmtId="0" fontId="120" fillId="0" borderId="0" applyNumberFormat="0" applyFill="0" applyBorder="0" applyAlignment="0" applyProtection="0">
      <alignment vertical="top"/>
      <protection locked="0"/>
    </xf>
    <xf numFmtId="0" fontId="121" fillId="0" borderId="0" applyNumberFormat="0" applyFill="0" applyBorder="0" applyAlignment="0" applyProtection="0"/>
    <xf numFmtId="0" fontId="122" fillId="0" borderId="42" applyNumberFormat="0" applyFill="0" applyAlignment="0" applyProtection="0"/>
    <xf numFmtId="0" fontId="122" fillId="0" borderId="0" applyNumberFormat="0" applyFill="0" applyBorder="0" applyAlignment="0" applyProtection="0"/>
    <xf numFmtId="0" fontId="123" fillId="11" borderId="0" applyNumberFormat="0" applyBorder="0" applyAlignment="0" applyProtection="0"/>
    <xf numFmtId="0" fontId="124" fillId="12" borderId="0" applyNumberFormat="0" applyBorder="0" applyAlignment="0" applyProtection="0"/>
    <xf numFmtId="0" fontId="125" fillId="13" borderId="0" applyNumberFormat="0" applyBorder="0" applyAlignment="0" applyProtection="0"/>
    <xf numFmtId="0" fontId="126" fillId="14" borderId="43" applyNumberFormat="0" applyAlignment="0" applyProtection="0"/>
    <xf numFmtId="0" fontId="127" fillId="15" borderId="44" applyNumberFormat="0" applyAlignment="0" applyProtection="0"/>
    <xf numFmtId="0" fontId="128" fillId="15" borderId="43" applyNumberFormat="0" applyAlignment="0" applyProtection="0"/>
    <xf numFmtId="0" fontId="129" fillId="0" borderId="45" applyNumberFormat="0" applyFill="0" applyAlignment="0" applyProtection="0"/>
    <xf numFmtId="0" fontId="130" fillId="16" borderId="46"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33" fillId="21" borderId="0" applyNumberFormat="0" applyBorder="0" applyAlignment="0" applyProtection="0"/>
    <xf numFmtId="0" fontId="13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33" fillId="25" borderId="0" applyNumberFormat="0" applyBorder="0" applyAlignment="0" applyProtection="0"/>
    <xf numFmtId="0" fontId="13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33" fillId="29" borderId="0" applyNumberFormat="0" applyBorder="0" applyAlignment="0" applyProtection="0"/>
    <xf numFmtId="0" fontId="13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33" fillId="33" borderId="0" applyNumberFormat="0" applyBorder="0" applyAlignment="0" applyProtection="0"/>
    <xf numFmtId="0" fontId="13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33" fillId="37" borderId="0" applyNumberFormat="0" applyBorder="0" applyAlignment="0" applyProtection="0"/>
    <xf numFmtId="0" fontId="13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33" fillId="41" borderId="0" applyNumberFormat="0" applyBorder="0" applyAlignment="0" applyProtection="0"/>
    <xf numFmtId="0" fontId="3" fillId="0" borderId="0"/>
    <xf numFmtId="0" fontId="134" fillId="0" borderId="48" applyNumberFormat="0" applyFill="0" applyAlignment="0" applyProtection="0"/>
    <xf numFmtId="0" fontId="135" fillId="0" borderId="49" applyNumberFormat="0" applyFill="0" applyAlignment="0" applyProtection="0"/>
    <xf numFmtId="0" fontId="3" fillId="17" borderId="47" applyNumberFormat="0" applyFont="0" applyAlignment="0" applyProtection="0"/>
    <xf numFmtId="9" fontId="3" fillId="0" borderId="0" applyFont="0" applyFill="0" applyBorder="0" applyAlignment="0" applyProtection="0"/>
    <xf numFmtId="0" fontId="136" fillId="0" borderId="50"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8" fillId="0" borderId="0" applyNumberFormat="0" applyFill="0" applyBorder="0" applyAlignment="0" applyProtection="0">
      <alignment vertical="top"/>
      <protection locked="0"/>
    </xf>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 fillId="0" borderId="0"/>
    <xf numFmtId="44" fontId="4" fillId="0" borderId="0" applyFont="0" applyFill="0" applyBorder="0" applyAlignment="0" applyProtection="0"/>
    <xf numFmtId="0" fontId="1" fillId="0" borderId="0"/>
    <xf numFmtId="0" fontId="1" fillId="17" borderId="47" applyNumberFormat="0" applyFont="0" applyAlignment="0" applyProtection="0"/>
    <xf numFmtId="9" fontId="1" fillId="0" borderId="0" applyFont="0" applyFill="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17" borderId="47" applyNumberFormat="0" applyFont="0" applyAlignment="0" applyProtection="0"/>
    <xf numFmtId="9" fontId="1" fillId="0" borderId="0" applyFont="0" applyFill="0" applyBorder="0" applyAlignment="0" applyProtection="0"/>
    <xf numFmtId="9" fontId="137" fillId="0" borderId="0" applyFont="0" applyFill="0" applyBorder="0" applyAlignment="0" applyProtection="0"/>
  </cellStyleXfs>
  <cellXfs count="1031">
    <xf numFmtId="0" fontId="0" fillId="0" borderId="0" xfId="0"/>
    <xf numFmtId="3" fontId="0" fillId="2" borderId="0" xfId="3" applyNumberFormat="1" applyFont="1" applyFill="1" applyBorder="1" applyProtection="1">
      <protection locked="0"/>
    </xf>
    <xf numFmtId="3" fontId="0" fillId="2" borderId="2" xfId="3" applyNumberFormat="1" applyFont="1" applyFill="1" applyBorder="1" applyProtection="1">
      <protection locked="0"/>
    </xf>
    <xf numFmtId="3" fontId="0" fillId="2" borderId="0" xfId="0" applyNumberFormat="1" applyFill="1" applyProtection="1">
      <protection locked="0"/>
    </xf>
    <xf numFmtId="3" fontId="5" fillId="2" borderId="0" xfId="0" applyNumberFormat="1" applyFont="1" applyFill="1" applyBorder="1" applyProtection="1">
      <protection locked="0"/>
    </xf>
    <xf numFmtId="5" fontId="8" fillId="2" borderId="0" xfId="0" applyNumberFormat="1" applyFont="1" applyFill="1" applyBorder="1" applyAlignment="1" applyProtection="1">
      <alignment horizontal="right"/>
      <protection locked="0"/>
    </xf>
    <xf numFmtId="10" fontId="0" fillId="2" borderId="0" xfId="0" applyNumberFormat="1" applyFill="1" applyProtection="1"/>
    <xf numFmtId="0" fontId="5" fillId="2" borderId="0" xfId="0" applyFont="1" applyFill="1" applyBorder="1" applyProtection="1">
      <protection locked="0"/>
    </xf>
    <xf numFmtId="0" fontId="0" fillId="2" borderId="0" xfId="0" applyFill="1" applyBorder="1" applyProtection="1">
      <protection locked="0"/>
    </xf>
    <xf numFmtId="0" fontId="5" fillId="2" borderId="0" xfId="0" applyFont="1" applyFill="1" applyBorder="1" applyAlignment="1" applyProtection="1">
      <alignment horizontal="center"/>
      <protection locked="0"/>
    </xf>
    <xf numFmtId="0" fontId="6" fillId="2" borderId="2" xfId="0" applyFont="1" applyFill="1" applyBorder="1" applyProtection="1">
      <protection locked="0"/>
    </xf>
    <xf numFmtId="0" fontId="6" fillId="2" borderId="0" xfId="0" applyFont="1" applyFill="1" applyBorder="1" applyProtection="1">
      <protection locked="0"/>
    </xf>
    <xf numFmtId="0" fontId="5" fillId="2" borderId="2" xfId="0" applyFont="1" applyFill="1" applyBorder="1" applyAlignment="1" applyProtection="1">
      <alignment horizontal="center"/>
      <protection locked="0"/>
    </xf>
    <xf numFmtId="3" fontId="0" fillId="2" borderId="0" xfId="1" applyNumberFormat="1" applyFont="1" applyFill="1" applyBorder="1" applyProtection="1">
      <protection locked="0"/>
    </xf>
    <xf numFmtId="3" fontId="0" fillId="2" borderId="0" xfId="0" applyNumberFormat="1" applyFill="1" applyBorder="1" applyProtection="1">
      <protection locked="0"/>
    </xf>
    <xf numFmtId="3" fontId="0" fillId="2" borderId="2" xfId="1" applyNumberFormat="1" applyFont="1" applyFill="1" applyBorder="1" applyProtection="1">
      <protection locked="0"/>
    </xf>
    <xf numFmtId="0" fontId="0" fillId="2" borderId="2" xfId="0" applyFill="1" applyBorder="1" applyProtection="1">
      <protection locked="0"/>
    </xf>
    <xf numFmtId="0" fontId="6" fillId="2" borderId="0" xfId="0" applyFont="1" applyFill="1" applyBorder="1" applyAlignment="1" applyProtection="1">
      <alignment horizontal="center"/>
      <protection locked="0"/>
    </xf>
    <xf numFmtId="3" fontId="0" fillId="2" borderId="2" xfId="0" applyNumberFormat="1" applyFill="1" applyBorder="1" applyProtection="1">
      <protection locked="0"/>
    </xf>
    <xf numFmtId="0" fontId="0" fillId="2" borderId="0" xfId="0" applyFill="1" applyBorder="1" applyAlignment="1" applyProtection="1">
      <alignment horizontal="right"/>
      <protection locked="0"/>
    </xf>
    <xf numFmtId="0" fontId="7" fillId="2" borderId="0" xfId="0" applyFont="1" applyFill="1" applyBorder="1" applyAlignment="1" applyProtection="1">
      <alignment horizontal="center"/>
      <protection locked="0"/>
    </xf>
    <xf numFmtId="0" fontId="8" fillId="2" borderId="0" xfId="0" applyFont="1" applyFill="1" applyBorder="1" applyProtection="1">
      <protection locked="0"/>
    </xf>
    <xf numFmtId="0" fontId="0" fillId="2" borderId="0" xfId="0" applyFill="1" applyBorder="1" applyProtection="1"/>
    <xf numFmtId="10" fontId="0" fillId="2" borderId="8" xfId="0" applyNumberFormat="1" applyFill="1" applyBorder="1" applyProtection="1"/>
    <xf numFmtId="10" fontId="0" fillId="0" borderId="9" xfId="0" applyNumberFormat="1" applyBorder="1" applyProtection="1"/>
    <xf numFmtId="1" fontId="0" fillId="2" borderId="0" xfId="12" applyNumberFormat="1" applyFont="1" applyFill="1" applyBorder="1" applyProtection="1">
      <protection locked="0"/>
    </xf>
    <xf numFmtId="1" fontId="0" fillId="2" borderId="2" xfId="12" applyNumberFormat="1" applyFont="1" applyFill="1" applyBorder="1" applyProtection="1">
      <protection locked="0"/>
    </xf>
    <xf numFmtId="0" fontId="5" fillId="2" borderId="10" xfId="0" applyFont="1" applyFill="1" applyBorder="1" applyAlignment="1" applyProtection="1">
      <alignment horizontal="center"/>
      <protection locked="0"/>
    </xf>
    <xf numFmtId="0" fontId="0" fillId="2" borderId="10" xfId="0" applyFill="1" applyBorder="1" applyProtection="1">
      <protection locked="0"/>
    </xf>
    <xf numFmtId="3" fontId="0" fillId="2" borderId="10" xfId="0" applyNumberFormat="1" applyFill="1" applyBorder="1" applyProtection="1">
      <protection locked="0"/>
    </xf>
    <xf numFmtId="0" fontId="0" fillId="2" borderId="11" xfId="0" applyFill="1" applyBorder="1" applyProtection="1">
      <protection locked="0"/>
    </xf>
    <xf numFmtId="0" fontId="6" fillId="2" borderId="2" xfId="0" applyFont="1" applyFill="1" applyBorder="1" applyAlignment="1" applyProtection="1">
      <alignment horizontal="center"/>
      <protection locked="0"/>
    </xf>
    <xf numFmtId="0" fontId="11" fillId="2" borderId="0" xfId="0" applyFont="1" applyFill="1" applyBorder="1" applyProtection="1">
      <protection hidden="1"/>
    </xf>
    <xf numFmtId="0" fontId="9" fillId="2" borderId="0" xfId="0" applyFont="1" applyFill="1" applyBorder="1" applyProtection="1">
      <protection hidden="1"/>
    </xf>
    <xf numFmtId="3" fontId="0" fillId="2" borderId="0" xfId="0" applyNumberFormat="1" applyFill="1" applyProtection="1"/>
    <xf numFmtId="3" fontId="0" fillId="2" borderId="2" xfId="0" applyNumberFormat="1" applyFill="1" applyBorder="1" applyProtection="1"/>
    <xf numFmtId="3" fontId="5" fillId="2" borderId="0" xfId="0" applyNumberFormat="1" applyFont="1" applyFill="1" applyBorder="1" applyProtection="1"/>
    <xf numFmtId="3" fontId="9" fillId="2" borderId="0" xfId="0" applyNumberFormat="1" applyFont="1" applyFill="1" applyAlignment="1" applyProtection="1">
      <alignment horizontal="right"/>
    </xf>
    <xf numFmtId="3" fontId="9" fillId="2" borderId="0" xfId="0" applyNumberFormat="1" applyFont="1" applyFill="1" applyBorder="1" applyProtection="1"/>
    <xf numFmtId="3" fontId="9" fillId="2" borderId="0" xfId="0" applyNumberFormat="1" applyFont="1" applyFill="1" applyProtection="1"/>
    <xf numFmtId="0" fontId="5" fillId="2" borderId="0" xfId="0" applyFont="1" applyFill="1" applyBorder="1" applyProtection="1"/>
    <xf numFmtId="3" fontId="8" fillId="2" borderId="0" xfId="0" applyNumberFormat="1" applyFont="1" applyFill="1" applyBorder="1" applyProtection="1"/>
    <xf numFmtId="3" fontId="8" fillId="0" borderId="0" xfId="0" applyNumberFormat="1" applyFont="1" applyProtection="1"/>
    <xf numFmtId="3" fontId="8" fillId="2" borderId="0" xfId="0" applyNumberFormat="1" applyFont="1" applyFill="1" applyProtection="1"/>
    <xf numFmtId="3" fontId="12" fillId="2" borderId="12" xfId="0" applyNumberFormat="1" applyFont="1" applyFill="1" applyBorder="1" applyAlignment="1" applyProtection="1">
      <alignment shrinkToFit="1"/>
    </xf>
    <xf numFmtId="3" fontId="12" fillId="2" borderId="13" xfId="0" applyNumberFormat="1" applyFont="1" applyFill="1" applyBorder="1" applyAlignment="1" applyProtection="1">
      <alignment shrinkToFit="1"/>
    </xf>
    <xf numFmtId="3" fontId="12" fillId="2" borderId="14" xfId="0" applyNumberFormat="1" applyFont="1" applyFill="1" applyBorder="1" applyAlignment="1" applyProtection="1">
      <alignment shrinkToFit="1"/>
    </xf>
    <xf numFmtId="3" fontId="18" fillId="2" borderId="15" xfId="0" applyNumberFormat="1" applyFont="1" applyFill="1" applyBorder="1" applyProtection="1">
      <protection locked="0"/>
    </xf>
    <xf numFmtId="3" fontId="5" fillId="2" borderId="0" xfId="3" applyNumberFormat="1" applyFont="1" applyFill="1" applyBorder="1" applyProtection="1"/>
    <xf numFmtId="3" fontId="0" fillId="0" borderId="0" xfId="0" applyNumberFormat="1" applyBorder="1" applyProtection="1"/>
    <xf numFmtId="0" fontId="0" fillId="2" borderId="19" xfId="0" applyFill="1" applyBorder="1" applyProtection="1"/>
    <xf numFmtId="0" fontId="0" fillId="2" borderId="11" xfId="0" applyFill="1" applyBorder="1" applyAlignment="1" applyProtection="1">
      <alignment horizontal="center"/>
    </xf>
    <xf numFmtId="0" fontId="0" fillId="2" borderId="18" xfId="0" applyFill="1" applyBorder="1" applyProtection="1"/>
    <xf numFmtId="0" fontId="0" fillId="2" borderId="2" xfId="0" applyFill="1" applyBorder="1" applyProtection="1"/>
    <xf numFmtId="0" fontId="7" fillId="2" borderId="0" xfId="0" applyFont="1" applyFill="1" applyBorder="1" applyAlignment="1" applyProtection="1">
      <alignment horizontal="right"/>
      <protection locked="0"/>
    </xf>
    <xf numFmtId="49" fontId="7" fillId="2" borderId="0" xfId="0" applyNumberFormat="1" applyFont="1" applyFill="1" applyBorder="1" applyAlignment="1" applyProtection="1">
      <alignment horizontal="left"/>
      <protection locked="0"/>
    </xf>
    <xf numFmtId="0" fontId="26" fillId="2" borderId="0" xfId="0" applyFont="1" applyFill="1" applyBorder="1" applyAlignment="1" applyProtection="1">
      <alignment horizontal="left"/>
      <protection locked="0"/>
    </xf>
    <xf numFmtId="0" fontId="27" fillId="2" borderId="0" xfId="0" applyFont="1" applyFill="1" applyBorder="1" applyProtection="1">
      <protection locked="0"/>
    </xf>
    <xf numFmtId="0" fontId="14" fillId="2" borderId="0"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3" fillId="0" borderId="0" xfId="0" applyFont="1" applyBorder="1" applyAlignment="1">
      <alignment vertical="center" wrapText="1"/>
    </xf>
    <xf numFmtId="0" fontId="15" fillId="2" borderId="0" xfId="0" applyFont="1" applyFill="1" applyBorder="1" applyAlignment="1">
      <alignment vertical="center" wrapText="1"/>
    </xf>
    <xf numFmtId="0" fontId="13" fillId="2" borderId="0" xfId="0" applyFont="1" applyFill="1" applyBorder="1" applyAlignment="1">
      <alignment vertical="center" wrapText="1"/>
    </xf>
    <xf numFmtId="0" fontId="32" fillId="2" borderId="0" xfId="0" applyFont="1" applyFill="1" applyBorder="1" applyProtection="1"/>
    <xf numFmtId="0" fontId="0" fillId="2" borderId="0" xfId="0" applyFill="1" applyBorder="1" applyAlignment="1" applyProtection="1">
      <alignment horizontal="center"/>
      <protection locked="0"/>
    </xf>
    <xf numFmtId="0" fontId="38" fillId="0" borderId="0" xfId="11" applyFont="1" applyAlignment="1">
      <alignment vertical="top"/>
    </xf>
    <xf numFmtId="0" fontId="0" fillId="3" borderId="0" xfId="0" applyFill="1" applyBorder="1" applyProtection="1">
      <protection locked="0"/>
    </xf>
    <xf numFmtId="0" fontId="0" fillId="2" borderId="0" xfId="0" applyFill="1" applyBorder="1" applyAlignment="1" applyProtection="1">
      <alignment vertical="center"/>
      <protection locked="0"/>
    </xf>
    <xf numFmtId="164" fontId="49" fillId="2" borderId="0" xfId="12" applyNumberFormat="1" applyFont="1" applyFill="1" applyBorder="1" applyAlignment="1" applyProtection="1">
      <alignment horizontal="center"/>
      <protection locked="0"/>
    </xf>
    <xf numFmtId="164" fontId="49" fillId="2" borderId="2" xfId="12" applyNumberFormat="1" applyFont="1" applyFill="1" applyBorder="1" applyAlignment="1" applyProtection="1">
      <alignment horizontal="center"/>
      <protection locked="0"/>
    </xf>
    <xf numFmtId="0" fontId="48" fillId="2" borderId="0" xfId="0" applyFont="1" applyFill="1" applyBorder="1" applyAlignment="1">
      <alignment horizontal="right" wrapText="1"/>
    </xf>
    <xf numFmtId="0" fontId="47" fillId="2" borderId="2" xfId="0" applyFont="1" applyFill="1" applyBorder="1" applyAlignment="1">
      <alignment horizontal="right" wrapText="1"/>
    </xf>
    <xf numFmtId="0" fontId="48" fillId="2" borderId="2" xfId="0" applyFont="1" applyFill="1" applyBorder="1" applyAlignment="1">
      <alignment horizontal="right" wrapText="1"/>
    </xf>
    <xf numFmtId="3" fontId="18" fillId="2" borderId="11" xfId="0" applyNumberFormat="1" applyFont="1" applyFill="1" applyBorder="1" applyProtection="1">
      <protection locked="0"/>
    </xf>
    <xf numFmtId="0" fontId="57" fillId="0" borderId="1" xfId="10" applyFont="1" applyBorder="1"/>
    <xf numFmtId="0" fontId="57" fillId="0" borderId="0" xfId="10" applyFont="1"/>
    <xf numFmtId="0" fontId="56" fillId="0" borderId="0" xfId="10" applyFont="1"/>
    <xf numFmtId="0" fontId="57" fillId="0" borderId="11" xfId="10" applyFont="1" applyBorder="1"/>
    <xf numFmtId="0" fontId="57" fillId="0" borderId="19" xfId="10" applyFont="1" applyBorder="1"/>
    <xf numFmtId="0" fontId="49" fillId="0" borderId="0" xfId="10" applyFont="1"/>
    <xf numFmtId="0" fontId="57" fillId="0" borderId="20" xfId="10" applyFont="1" applyBorder="1"/>
    <xf numFmtId="0" fontId="57" fillId="0" borderId="19" xfId="10" applyFont="1" applyBorder="1" applyAlignment="1">
      <alignment horizontal="center"/>
    </xf>
    <xf numFmtId="0" fontId="57" fillId="0" borderId="20" xfId="10" applyFont="1" applyBorder="1" applyAlignment="1">
      <alignment horizontal="center"/>
    </xf>
    <xf numFmtId="0" fontId="49" fillId="0" borderId="11" xfId="10" applyFont="1" applyBorder="1"/>
    <xf numFmtId="3" fontId="49" fillId="0" borderId="19" xfId="10" applyNumberFormat="1" applyFont="1" applyBorder="1"/>
    <xf numFmtId="3" fontId="49" fillId="0" borderId="20" xfId="10" applyNumberFormat="1" applyFont="1" applyBorder="1"/>
    <xf numFmtId="3" fontId="57" fillId="0" borderId="0" xfId="10" applyNumberFormat="1" applyFont="1"/>
    <xf numFmtId="3" fontId="49" fillId="0" borderId="11" xfId="10" applyNumberFormat="1" applyFont="1" applyBorder="1"/>
    <xf numFmtId="3" fontId="49" fillId="0" borderId="25" xfId="10" applyNumberFormat="1" applyFont="1" applyBorder="1"/>
    <xf numFmtId="3" fontId="49" fillId="0" borderId="0" xfId="10" applyNumberFormat="1" applyFont="1"/>
    <xf numFmtId="3" fontId="49" fillId="0" borderId="26" xfId="10" applyNumberFormat="1" applyFont="1" applyBorder="1"/>
    <xf numFmtId="0" fontId="56" fillId="0" borderId="11" xfId="10" applyFont="1" applyBorder="1"/>
    <xf numFmtId="0" fontId="57" fillId="0" borderId="4" xfId="10" applyFont="1" applyBorder="1"/>
    <xf numFmtId="0" fontId="49" fillId="4" borderId="27" xfId="10" applyFont="1" applyFill="1" applyBorder="1"/>
    <xf numFmtId="0" fontId="49" fillId="4" borderId="20" xfId="10" applyFont="1" applyFill="1" applyBorder="1"/>
    <xf numFmtId="3" fontId="49" fillId="4" borderId="19" xfId="10" applyNumberFormat="1" applyFont="1" applyFill="1" applyBorder="1"/>
    <xf numFmtId="3" fontId="49" fillId="4" borderId="20" xfId="10" applyNumberFormat="1" applyFont="1" applyFill="1" applyBorder="1"/>
    <xf numFmtId="0" fontId="56" fillId="0" borderId="0" xfId="10" applyFont="1" applyBorder="1"/>
    <xf numFmtId="0" fontId="57" fillId="0" borderId="0" xfId="10" applyFont="1" applyBorder="1"/>
    <xf numFmtId="0" fontId="57" fillId="0" borderId="10" xfId="10" applyFont="1" applyBorder="1"/>
    <xf numFmtId="0" fontId="57" fillId="0" borderId="3" xfId="10" applyFont="1" applyBorder="1"/>
    <xf numFmtId="3" fontId="49" fillId="0" borderId="12" xfId="10" applyNumberFormat="1" applyFont="1" applyBorder="1"/>
    <xf numFmtId="0" fontId="56" fillId="0" borderId="0" xfId="10" applyFont="1" applyAlignment="1">
      <alignment horizontal="right"/>
    </xf>
    <xf numFmtId="0" fontId="62" fillId="0" borderId="11" xfId="10" applyFont="1" applyBorder="1"/>
    <xf numFmtId="0" fontId="62" fillId="0" borderId="0" xfId="10" applyFont="1"/>
    <xf numFmtId="0" fontId="58" fillId="0" borderId="20" xfId="10" applyFont="1" applyBorder="1" applyAlignment="1">
      <alignment horizontal="center"/>
    </xf>
    <xf numFmtId="0" fontId="57" fillId="0" borderId="11" xfId="10" applyFont="1" applyBorder="1" applyAlignment="1"/>
    <xf numFmtId="0" fontId="57" fillId="0" borderId="0" xfId="10" applyFont="1" applyAlignment="1">
      <alignment vertical="top"/>
    </xf>
    <xf numFmtId="0" fontId="57" fillId="0" borderId="2" xfId="10" applyFont="1" applyBorder="1"/>
    <xf numFmtId="0" fontId="49" fillId="0" borderId="5" xfId="10" applyFont="1" applyBorder="1"/>
    <xf numFmtId="0" fontId="57" fillId="0" borderId="11" xfId="10" applyFont="1" applyBorder="1" applyAlignment="1">
      <alignment horizontal="left"/>
    </xf>
    <xf numFmtId="0" fontId="56" fillId="0" borderId="11" xfId="10" applyFont="1" applyBorder="1" applyAlignment="1">
      <alignment horizontal="right"/>
    </xf>
    <xf numFmtId="0" fontId="0" fillId="2" borderId="0" xfId="0" applyFill="1" applyBorder="1" applyAlignment="1" applyProtection="1">
      <alignment horizontal="left"/>
      <protection locked="0"/>
    </xf>
    <xf numFmtId="0" fontId="0" fillId="0" borderId="0" xfId="0" applyAlignment="1"/>
    <xf numFmtId="0" fontId="5" fillId="2" borderId="0" xfId="0" applyFont="1" applyFill="1" applyBorder="1" applyAlignment="1" applyProtection="1">
      <alignment horizontal="left"/>
      <protection locked="0"/>
    </xf>
    <xf numFmtId="0" fontId="49" fillId="0" borderId="0" xfId="10" applyFont="1" applyBorder="1"/>
    <xf numFmtId="0" fontId="57" fillId="0" borderId="28" xfId="10" applyFont="1" applyBorder="1"/>
    <xf numFmtId="0" fontId="57" fillId="0" borderId="29" xfId="10" applyFont="1" applyBorder="1"/>
    <xf numFmtId="3" fontId="49" fillId="0" borderId="29" xfId="10" applyNumberFormat="1" applyFont="1" applyBorder="1"/>
    <xf numFmtId="1" fontId="0" fillId="2" borderId="2" xfId="0" applyNumberFormat="1" applyFill="1" applyBorder="1" applyProtection="1">
      <protection locked="0"/>
    </xf>
    <xf numFmtId="1" fontId="0" fillId="2" borderId="0" xfId="0" applyNumberFormat="1" applyFill="1" applyBorder="1" applyProtection="1">
      <protection locked="0"/>
    </xf>
    <xf numFmtId="1" fontId="5" fillId="2" borderId="0" xfId="0" applyNumberFormat="1" applyFont="1" applyFill="1" applyBorder="1" applyProtection="1"/>
    <xf numFmtId="1" fontId="9" fillId="2" borderId="0" xfId="0" applyNumberFormat="1" applyFont="1" applyFill="1" applyAlignment="1" applyProtection="1">
      <alignment horizontal="right"/>
    </xf>
    <xf numFmtId="1" fontId="9" fillId="2" borderId="0" xfId="0" applyNumberFormat="1" applyFont="1" applyFill="1" applyBorder="1" applyProtection="1"/>
    <xf numFmtId="1" fontId="9" fillId="2" borderId="0" xfId="0" applyNumberFormat="1" applyFont="1" applyFill="1" applyProtection="1"/>
    <xf numFmtId="0" fontId="58" fillId="0" borderId="0" xfId="10" applyFont="1"/>
    <xf numFmtId="0" fontId="55" fillId="2" borderId="0" xfId="0" applyFont="1" applyFill="1" applyBorder="1" applyAlignment="1" applyProtection="1">
      <alignment horizontal="left"/>
      <protection locked="0"/>
    </xf>
    <xf numFmtId="0" fontId="55" fillId="2" borderId="0" xfId="0" applyFont="1" applyFill="1" applyAlignment="1" applyProtection="1">
      <alignment horizontal="right"/>
      <protection locked="0"/>
    </xf>
    <xf numFmtId="0" fontId="55" fillId="2" borderId="0" xfId="0" applyFont="1" applyFill="1" applyProtection="1">
      <protection locked="0"/>
    </xf>
    <xf numFmtId="0" fontId="55" fillId="2" borderId="0" xfId="0" applyFont="1" applyFill="1" applyBorder="1" applyProtection="1">
      <protection locked="0"/>
    </xf>
    <xf numFmtId="0" fontId="55" fillId="2" borderId="0" xfId="0" applyFont="1" applyFill="1" applyBorder="1" applyAlignment="1" applyProtection="1">
      <alignment horizontal="right"/>
      <protection locked="0"/>
    </xf>
    <xf numFmtId="0" fontId="55" fillId="2" borderId="0" xfId="0" applyFont="1" applyFill="1" applyBorder="1" applyAlignment="1" applyProtection="1">
      <alignment horizontal="center"/>
      <protection locked="0"/>
    </xf>
    <xf numFmtId="0" fontId="72" fillId="2" borderId="0" xfId="0" applyFont="1" applyFill="1" applyBorder="1" applyAlignment="1" applyProtection="1">
      <alignment vertical="center"/>
    </xf>
    <xf numFmtId="43" fontId="74" fillId="2" borderId="0" xfId="0" applyNumberFormat="1" applyFont="1" applyFill="1" applyBorder="1" applyAlignment="1" applyProtection="1">
      <alignment horizontal="center" vertical="center"/>
      <protection hidden="1"/>
    </xf>
    <xf numFmtId="0" fontId="55" fillId="2" borderId="0" xfId="0" applyFont="1" applyFill="1" applyBorder="1" applyProtection="1"/>
    <xf numFmtId="0" fontId="55" fillId="2" borderId="0" xfId="0" applyFont="1" applyFill="1" applyAlignment="1" applyProtection="1">
      <protection locked="0"/>
    </xf>
    <xf numFmtId="0" fontId="55" fillId="2" borderId="10" xfId="0" applyFont="1" applyFill="1" applyBorder="1" applyAlignment="1" applyProtection="1">
      <alignment horizontal="center"/>
      <protection locked="0"/>
    </xf>
    <xf numFmtId="0" fontId="77" fillId="2" borderId="15" xfId="0" applyFont="1" applyFill="1" applyBorder="1" applyAlignment="1" applyProtection="1">
      <alignment horizontal="left"/>
      <protection locked="0"/>
    </xf>
    <xf numFmtId="0" fontId="77" fillId="2" borderId="0" xfId="0" applyFont="1" applyFill="1" applyBorder="1" applyAlignment="1" applyProtection="1">
      <alignment horizontal="center"/>
      <protection locked="0"/>
    </xf>
    <xf numFmtId="0" fontId="78" fillId="2" borderId="15" xfId="0" applyFont="1" applyFill="1" applyBorder="1" applyAlignment="1" applyProtection="1">
      <alignment horizontal="left" vertical="center" wrapText="1"/>
      <protection locked="0"/>
    </xf>
    <xf numFmtId="0" fontId="78" fillId="2" borderId="0" xfId="0" applyFont="1" applyFill="1" applyProtection="1">
      <protection locked="0"/>
    </xf>
    <xf numFmtId="0" fontId="77" fillId="2" borderId="0" xfId="0" applyFont="1" applyFill="1" applyBorder="1" applyProtection="1">
      <protection locked="0"/>
    </xf>
    <xf numFmtId="0" fontId="77" fillId="2" borderId="0" xfId="0" applyFont="1" applyFill="1" applyProtection="1">
      <protection locked="0"/>
    </xf>
    <xf numFmtId="0" fontId="78" fillId="2" borderId="0" xfId="0" applyFont="1" applyFill="1" applyAlignment="1" applyProtection="1">
      <protection locked="0"/>
    </xf>
    <xf numFmtId="0" fontId="49" fillId="0" borderId="4" xfId="10" applyFont="1" applyBorder="1"/>
    <xf numFmtId="0" fontId="57" fillId="0" borderId="27" xfId="10" applyFont="1" applyBorder="1"/>
    <xf numFmtId="0" fontId="66" fillId="0" borderId="0" xfId="10" applyFont="1"/>
    <xf numFmtId="0" fontId="12" fillId="2" borderId="0" xfId="0" applyFont="1" applyFill="1" applyBorder="1" applyProtection="1">
      <protection locked="0"/>
    </xf>
    <xf numFmtId="3" fontId="14" fillId="2" borderId="0" xfId="0" applyNumberFormat="1" applyFont="1" applyFill="1" applyBorder="1" applyProtection="1">
      <protection locked="0"/>
    </xf>
    <xf numFmtId="3" fontId="0" fillId="5" borderId="0" xfId="3" applyNumberFormat="1" applyFont="1" applyFill="1" applyBorder="1" applyProtection="1">
      <protection locked="0"/>
    </xf>
    <xf numFmtId="3" fontId="0" fillId="5" borderId="2" xfId="3" applyNumberFormat="1" applyFont="1" applyFill="1" applyBorder="1" applyProtection="1">
      <protection locked="0"/>
    </xf>
    <xf numFmtId="3" fontId="5" fillId="0" borderId="0" xfId="0" applyNumberFormat="1" applyFont="1" applyFill="1" applyBorder="1" applyProtection="1"/>
    <xf numFmtId="0" fontId="80" fillId="2" borderId="0" xfId="0" applyFont="1" applyFill="1" applyBorder="1" applyProtection="1">
      <protection locked="0"/>
    </xf>
    <xf numFmtId="0" fontId="54" fillId="2" borderId="2" xfId="0" applyFont="1" applyFill="1" applyBorder="1" applyProtection="1">
      <protection locked="0"/>
    </xf>
    <xf numFmtId="0" fontId="54" fillId="2" borderId="0" xfId="0" applyFont="1" applyFill="1" applyProtection="1">
      <protection locked="0"/>
    </xf>
    <xf numFmtId="0" fontId="54" fillId="2" borderId="0" xfId="0" applyFont="1" applyFill="1" applyBorder="1" applyProtection="1">
      <protection locked="0"/>
    </xf>
    <xf numFmtId="0" fontId="54" fillId="2" borderId="0" xfId="0" applyFont="1" applyFill="1" applyAlignment="1" applyProtection="1">
      <alignment horizontal="left"/>
      <protection locked="0"/>
    </xf>
    <xf numFmtId="0" fontId="54" fillId="2" borderId="0" xfId="0" applyFont="1" applyFill="1" applyAlignment="1" applyProtection="1">
      <alignment wrapText="1"/>
      <protection locked="0"/>
    </xf>
    <xf numFmtId="0" fontId="54" fillId="2" borderId="0" xfId="0" applyFont="1" applyFill="1" applyAlignment="1" applyProtection="1">
      <protection locked="0"/>
    </xf>
    <xf numFmtId="167" fontId="54" fillId="2" borderId="0" xfId="0" applyNumberFormat="1" applyFont="1" applyFill="1" applyBorder="1" applyProtection="1">
      <protection locked="0"/>
    </xf>
    <xf numFmtId="0" fontId="54" fillId="2" borderId="2" xfId="0" applyFont="1" applyFill="1" applyBorder="1" applyAlignment="1" applyProtection="1">
      <protection locked="0"/>
    </xf>
    <xf numFmtId="3" fontId="82" fillId="0" borderId="20" xfId="10" applyNumberFormat="1" applyFont="1" applyBorder="1"/>
    <xf numFmtId="3" fontId="82" fillId="0" borderId="0" xfId="10" applyNumberFormat="1" applyFont="1"/>
    <xf numFmtId="3" fontId="82" fillId="0" borderId="19" xfId="10" applyNumberFormat="1" applyFont="1" applyBorder="1"/>
    <xf numFmtId="3" fontId="82" fillId="0" borderId="11" xfId="10" applyNumberFormat="1" applyFont="1" applyBorder="1"/>
    <xf numFmtId="3" fontId="82" fillId="0" borderId="18" xfId="10" applyNumberFormat="1" applyFont="1" applyBorder="1"/>
    <xf numFmtId="3" fontId="82" fillId="0" borderId="2" xfId="10" applyNumberFormat="1" applyFont="1" applyBorder="1"/>
    <xf numFmtId="0" fontId="83" fillId="0" borderId="20" xfId="10" applyFont="1" applyBorder="1"/>
    <xf numFmtId="0" fontId="83" fillId="0" borderId="0" xfId="10" applyFont="1" applyBorder="1"/>
    <xf numFmtId="3" fontId="82" fillId="0" borderId="0" xfId="10" applyNumberFormat="1" applyFont="1" applyBorder="1"/>
    <xf numFmtId="0" fontId="83" fillId="0" borderId="11" xfId="10" applyFont="1" applyBorder="1"/>
    <xf numFmtId="0" fontId="83" fillId="0" borderId="8" xfId="10" applyFont="1" applyBorder="1"/>
    <xf numFmtId="3" fontId="82" fillId="0" borderId="23" xfId="10" applyNumberFormat="1" applyFont="1" applyBorder="1"/>
    <xf numFmtId="0" fontId="83" fillId="0" borderId="18" xfId="10" applyFont="1" applyBorder="1"/>
    <xf numFmtId="0" fontId="83" fillId="0" borderId="9" xfId="10" applyFont="1" applyBorder="1"/>
    <xf numFmtId="0" fontId="83" fillId="0" borderId="24" xfId="10" applyFont="1" applyBorder="1"/>
    <xf numFmtId="3" fontId="82" fillId="0" borderId="13" xfId="10" applyNumberFormat="1" applyFont="1" applyBorder="1"/>
    <xf numFmtId="0" fontId="83" fillId="0" borderId="0" xfId="10" applyFont="1"/>
    <xf numFmtId="3" fontId="0" fillId="2" borderId="0" xfId="0" applyNumberFormat="1" applyFill="1" applyBorder="1" applyProtection="1"/>
    <xf numFmtId="0" fontId="17" fillId="2" borderId="0" xfId="0" applyFont="1" applyFill="1" applyAlignment="1">
      <alignment wrapText="1" shrinkToFit="1"/>
    </xf>
    <xf numFmtId="0" fontId="17" fillId="2" borderId="0" xfId="0" applyFont="1" applyFill="1" applyAlignment="1">
      <alignment wrapText="1"/>
    </xf>
    <xf numFmtId="0" fontId="57" fillId="0" borderId="6" xfId="10" applyFont="1" applyBorder="1"/>
    <xf numFmtId="3" fontId="49" fillId="0" borderId="14" xfId="10" applyNumberFormat="1" applyFont="1" applyBorder="1"/>
    <xf numFmtId="0" fontId="57" fillId="0" borderId="30" xfId="10" applyFont="1" applyBorder="1"/>
    <xf numFmtId="166" fontId="22" fillId="0" borderId="0" xfId="14" applyFont="1" applyBorder="1" applyAlignment="1" applyProtection="1">
      <alignment horizontal="left"/>
    </xf>
    <xf numFmtId="166" fontId="38" fillId="0" borderId="0" xfId="14" applyFont="1" applyBorder="1" applyAlignment="1" applyProtection="1">
      <alignment horizontal="right"/>
    </xf>
    <xf numFmtId="165" fontId="38" fillId="0" borderId="0" xfId="14" quotePrefix="1" applyNumberFormat="1" applyFont="1" applyBorder="1" applyProtection="1"/>
    <xf numFmtId="166" fontId="38" fillId="0" borderId="0" xfId="14" applyFont="1" applyBorder="1"/>
    <xf numFmtId="171" fontId="39" fillId="0" borderId="0" xfId="14" applyNumberFormat="1" applyFont="1" applyBorder="1" applyAlignment="1">
      <alignment horizontal="center" vertical="center"/>
    </xf>
    <xf numFmtId="169" fontId="38" fillId="0" borderId="0" xfId="14" applyNumberFormat="1" applyFont="1" applyBorder="1"/>
    <xf numFmtId="166" fontId="38" fillId="0" borderId="0" xfId="14" applyFont="1" applyBorder="1" applyAlignment="1" applyProtection="1"/>
    <xf numFmtId="166" fontId="21" fillId="0" borderId="0" xfId="14" applyFont="1" applyBorder="1"/>
    <xf numFmtId="166" fontId="22" fillId="0" borderId="0" xfId="14" applyFont="1" applyBorder="1" applyAlignment="1">
      <alignment horizontal="right"/>
    </xf>
    <xf numFmtId="166" fontId="84" fillId="0" borderId="0" xfId="14" applyFont="1" applyBorder="1" applyProtection="1"/>
    <xf numFmtId="166" fontId="38" fillId="0" borderId="0" xfId="14" applyFont="1" applyBorder="1" applyAlignment="1" applyProtection="1">
      <alignment horizontal="left"/>
    </xf>
    <xf numFmtId="166" fontId="38" fillId="0" borderId="0" xfId="14" applyFont="1" applyBorder="1" applyProtection="1"/>
    <xf numFmtId="166" fontId="22" fillId="0" borderId="19" xfId="14" applyFont="1" applyBorder="1" applyAlignment="1" applyProtection="1">
      <alignment horizontal="centerContinuous" vertical="top"/>
    </xf>
    <xf numFmtId="166" fontId="38" fillId="0" borderId="11" xfId="14" applyFont="1" applyBorder="1" applyAlignment="1" applyProtection="1">
      <alignment horizontal="centerContinuous"/>
    </xf>
    <xf numFmtId="165" fontId="38" fillId="0" borderId="11" xfId="14" quotePrefix="1" applyNumberFormat="1" applyFont="1" applyBorder="1" applyAlignment="1" applyProtection="1">
      <alignment horizontal="centerContinuous"/>
    </xf>
    <xf numFmtId="166" fontId="38" fillId="0" borderId="11" xfId="14" applyFont="1" applyBorder="1" applyAlignment="1">
      <alignment horizontal="centerContinuous"/>
    </xf>
    <xf numFmtId="166" fontId="53" fillId="0" borderId="17" xfId="14" applyFont="1" applyBorder="1" applyAlignment="1">
      <alignment horizontal="left" vertical="top"/>
    </xf>
    <xf numFmtId="166" fontId="38" fillId="0" borderId="10" xfId="14" applyFont="1" applyBorder="1" applyAlignment="1" applyProtection="1">
      <alignment vertical="top"/>
    </xf>
    <xf numFmtId="166" fontId="38" fillId="0" borderId="10" xfId="14" applyFont="1" applyBorder="1" applyAlignment="1">
      <alignment vertical="top"/>
    </xf>
    <xf numFmtId="166" fontId="38" fillId="0" borderId="16" xfId="14" applyFont="1" applyBorder="1" applyAlignment="1">
      <alignment vertical="top"/>
    </xf>
    <xf numFmtId="166" fontId="22" fillId="0" borderId="20" xfId="14" applyFont="1" applyBorder="1" applyAlignment="1" applyProtection="1">
      <alignment horizontal="centerContinuous" vertical="top"/>
    </xf>
    <xf numFmtId="166" fontId="38" fillId="0" borderId="0" xfId="14" applyFont="1" applyBorder="1" applyAlignment="1" applyProtection="1">
      <alignment horizontal="centerContinuous" vertical="top"/>
    </xf>
    <xf numFmtId="165" fontId="38" fillId="0" borderId="0" xfId="14" quotePrefix="1" applyNumberFormat="1" applyFont="1" applyBorder="1" applyAlignment="1" applyProtection="1">
      <alignment horizontal="centerContinuous" vertical="top"/>
    </xf>
    <xf numFmtId="166" fontId="38" fillId="0" borderId="0" xfId="14" applyFont="1" applyBorder="1" applyAlignment="1">
      <alignment horizontal="centerContinuous" vertical="top"/>
    </xf>
    <xf numFmtId="166" fontId="21" fillId="0" borderId="17" xfId="14" applyFont="1" applyBorder="1" applyAlignment="1">
      <alignment horizontal="left" vertical="center"/>
    </xf>
    <xf numFmtId="166" fontId="4" fillId="0" borderId="10" xfId="14" applyFont="1" applyBorder="1"/>
    <xf numFmtId="166" fontId="21" fillId="0" borderId="10" xfId="14" applyFont="1" applyBorder="1" applyAlignment="1">
      <alignment vertical="center"/>
    </xf>
    <xf numFmtId="166" fontId="21" fillId="0" borderId="16" xfId="14" applyFont="1" applyBorder="1" applyAlignment="1">
      <alignment vertical="center"/>
    </xf>
    <xf numFmtId="166" fontId="41" fillId="0" borderId="20" xfId="14" applyFont="1" applyBorder="1" applyAlignment="1" applyProtection="1">
      <alignment horizontal="centerContinuous" vertical="center"/>
    </xf>
    <xf numFmtId="166" fontId="42" fillId="0" borderId="0" xfId="14" applyFont="1" applyBorder="1" applyAlignment="1" applyProtection="1">
      <alignment horizontal="centerContinuous" vertical="center"/>
    </xf>
    <xf numFmtId="166" fontId="42" fillId="0" borderId="0" xfId="14" applyFont="1" applyBorder="1" applyAlignment="1">
      <alignment horizontal="centerContinuous" vertical="center"/>
    </xf>
    <xf numFmtId="166" fontId="21" fillId="0" borderId="17" xfId="14" applyFont="1" applyBorder="1" applyAlignment="1">
      <alignment horizontal="left" vertical="top"/>
    </xf>
    <xf numFmtId="166" fontId="21" fillId="0" borderId="10" xfId="14" applyFont="1" applyBorder="1" applyAlignment="1">
      <alignment vertical="top"/>
    </xf>
    <xf numFmtId="166" fontId="38" fillId="0" borderId="0" xfId="14" applyFont="1" applyProtection="1"/>
    <xf numFmtId="166" fontId="21" fillId="0" borderId="19" xfId="14" applyFont="1" applyBorder="1" applyAlignment="1">
      <alignment horizontal="left" vertical="center"/>
    </xf>
    <xf numFmtId="166" fontId="21" fillId="0" borderId="11" xfId="14" applyFont="1" applyBorder="1" applyAlignment="1">
      <alignment horizontal="center" vertical="center"/>
    </xf>
    <xf numFmtId="166" fontId="21" fillId="0" borderId="11" xfId="14" applyFont="1" applyBorder="1" applyAlignment="1">
      <alignment horizontal="left" vertical="center"/>
    </xf>
    <xf numFmtId="166" fontId="21" fillId="0" borderId="8" xfId="14" applyFont="1" applyBorder="1" applyAlignment="1">
      <alignment horizontal="center" vertical="center"/>
    </xf>
    <xf numFmtId="166" fontId="21" fillId="0" borderId="20" xfId="14" applyFont="1" applyBorder="1" applyAlignment="1">
      <alignment horizontal="left" vertical="center"/>
    </xf>
    <xf numFmtId="166" fontId="21" fillId="0" borderId="0" xfId="14" applyFont="1" applyBorder="1" applyAlignment="1">
      <alignment horizontal="center" vertical="center"/>
    </xf>
    <xf numFmtId="166" fontId="21" fillId="0" borderId="2" xfId="14" applyFont="1" applyBorder="1" applyAlignment="1">
      <alignment horizontal="center" vertical="center"/>
    </xf>
    <xf numFmtId="166" fontId="21" fillId="0" borderId="21" xfId="14" applyFont="1" applyBorder="1" applyAlignment="1">
      <alignment horizontal="center" vertical="center"/>
    </xf>
    <xf numFmtId="166" fontId="22" fillId="0" borderId="19" xfId="14" applyFont="1" applyBorder="1" applyAlignment="1" applyProtection="1">
      <alignment vertical="top"/>
    </xf>
    <xf numFmtId="166" fontId="38" fillId="0" borderId="11" xfId="14" applyFont="1" applyBorder="1" applyAlignment="1" applyProtection="1">
      <alignment vertical="top"/>
    </xf>
    <xf numFmtId="166" fontId="38" fillId="0" borderId="11" xfId="14" applyFont="1" applyBorder="1" applyAlignment="1">
      <alignment vertical="top"/>
    </xf>
    <xf numFmtId="166" fontId="38" fillId="0" borderId="8" xfId="14" applyFont="1" applyBorder="1" applyAlignment="1">
      <alignment vertical="top"/>
    </xf>
    <xf numFmtId="166" fontId="38" fillId="0" borderId="0" xfId="14" applyFont="1"/>
    <xf numFmtId="166" fontId="12" fillId="0" borderId="18" xfId="14" applyFont="1" applyBorder="1" applyAlignment="1" applyProtection="1">
      <alignment horizontal="left" vertical="center"/>
      <protection locked="0"/>
    </xf>
    <xf numFmtId="166" fontId="12" fillId="0" borderId="2" xfId="14" applyFont="1" applyBorder="1" applyAlignment="1" applyProtection="1">
      <alignment vertical="center"/>
      <protection locked="0"/>
    </xf>
    <xf numFmtId="166" fontId="12" fillId="0" borderId="2" xfId="14" applyFont="1" applyBorder="1" applyAlignment="1" applyProtection="1">
      <alignment horizontal="left" vertical="center"/>
    </xf>
    <xf numFmtId="166" fontId="12" fillId="0" borderId="2" xfId="14" applyFont="1" applyBorder="1" applyAlignment="1" applyProtection="1">
      <alignment vertical="center"/>
    </xf>
    <xf numFmtId="166" fontId="12" fillId="0" borderId="9" xfId="14" applyFont="1" applyBorder="1" applyAlignment="1" applyProtection="1">
      <alignment vertical="center"/>
    </xf>
    <xf numFmtId="166" fontId="38" fillId="0" borderId="11" xfId="14" applyFont="1" applyBorder="1" applyProtection="1"/>
    <xf numFmtId="166" fontId="38" fillId="0" borderId="11" xfId="14" applyFont="1" applyBorder="1" applyAlignment="1" applyProtection="1">
      <alignment horizontal="left"/>
    </xf>
    <xf numFmtId="166" fontId="44" fillId="0" borderId="11" xfId="14" applyFont="1" applyBorder="1" applyAlignment="1" applyProtection="1">
      <alignment horizontal="right" vertical="center"/>
      <protection locked="0"/>
    </xf>
    <xf numFmtId="166" fontId="21" fillId="0" borderId="11" xfId="14" applyFont="1" applyBorder="1" applyAlignment="1">
      <alignment vertical="top"/>
    </xf>
    <xf numFmtId="166" fontId="38" fillId="0" borderId="8" xfId="14" applyFont="1" applyBorder="1" applyAlignment="1">
      <alignment horizontal="left" vertical="top"/>
    </xf>
    <xf numFmtId="166" fontId="23" fillId="0" borderId="20" xfId="14" applyFont="1" applyBorder="1" applyAlignment="1" applyProtection="1">
      <alignment vertical="top"/>
    </xf>
    <xf numFmtId="166" fontId="44" fillId="0" borderId="0" xfId="14" applyFont="1" applyBorder="1" applyAlignment="1" applyProtection="1">
      <alignment horizontal="right" vertical="center"/>
      <protection locked="0"/>
    </xf>
    <xf numFmtId="166" fontId="38" fillId="0" borderId="0" xfId="14" applyFont="1" applyBorder="1" applyAlignment="1">
      <alignment vertical="top"/>
    </xf>
    <xf numFmtId="166" fontId="38" fillId="0" borderId="21" xfId="14" applyFont="1" applyBorder="1" applyAlignment="1">
      <alignment vertical="top"/>
    </xf>
    <xf numFmtId="166" fontId="22" fillId="0" borderId="18" xfId="14" applyFont="1" applyBorder="1" applyAlignment="1">
      <alignment horizontal="left" vertical="top"/>
    </xf>
    <xf numFmtId="166" fontId="43" fillId="0" borderId="2" xfId="14" applyFont="1" applyBorder="1" applyAlignment="1" applyProtection="1">
      <alignment horizontal="left" vertical="center"/>
    </xf>
    <xf numFmtId="166" fontId="30" fillId="0" borderId="2" xfId="14" applyFont="1" applyBorder="1" applyAlignment="1" applyProtection="1">
      <alignment horizontal="right" vertical="center"/>
      <protection locked="0"/>
    </xf>
    <xf numFmtId="166" fontId="22" fillId="0" borderId="2" xfId="14" applyFont="1" applyBorder="1" applyAlignment="1" applyProtection="1">
      <alignment horizontal="left" vertical="top"/>
    </xf>
    <xf numFmtId="166" fontId="22" fillId="0" borderId="2" xfId="14" applyFont="1" applyBorder="1" applyAlignment="1">
      <alignment horizontal="left"/>
    </xf>
    <xf numFmtId="166" fontId="38" fillId="0" borderId="2" xfId="14" applyFont="1" applyBorder="1" applyAlignment="1" applyProtection="1">
      <alignment horizontal="right" vertical="center"/>
      <protection locked="0"/>
    </xf>
    <xf numFmtId="166" fontId="30" fillId="0" borderId="2" xfId="14" applyFont="1" applyBorder="1" applyAlignment="1" applyProtection="1">
      <alignment vertical="center"/>
      <protection locked="0"/>
    </xf>
    <xf numFmtId="166" fontId="30" fillId="0" borderId="2" xfId="14" applyFont="1" applyBorder="1" applyAlignment="1" applyProtection="1">
      <alignment vertical="center"/>
    </xf>
    <xf numFmtId="166" fontId="30" fillId="0" borderId="2" xfId="14" applyFont="1" applyBorder="1" applyAlignment="1" applyProtection="1">
      <alignment horizontal="right" vertical="center"/>
    </xf>
    <xf numFmtId="166" fontId="30" fillId="0" borderId="9" xfId="14" applyFont="1" applyBorder="1" applyAlignment="1" applyProtection="1">
      <alignment vertical="center"/>
    </xf>
    <xf numFmtId="166" fontId="53" fillId="0" borderId="17" xfId="14" applyFont="1" applyBorder="1" applyAlignment="1" applyProtection="1">
      <alignment horizontal="left" vertical="center"/>
    </xf>
    <xf numFmtId="166" fontId="85" fillId="0" borderId="10" xfId="14" applyFont="1" applyBorder="1" applyAlignment="1" applyProtection="1">
      <alignment horizontal="left" vertical="center"/>
    </xf>
    <xf numFmtId="166" fontId="53" fillId="0" borderId="0" xfId="14" applyFont="1" applyBorder="1" applyAlignment="1" applyProtection="1">
      <alignment horizontal="left" vertical="center"/>
    </xf>
    <xf numFmtId="166" fontId="42" fillId="0" borderId="0" xfId="14" applyFont="1" applyBorder="1" applyAlignment="1" applyProtection="1">
      <alignment horizontal="left" vertical="center"/>
    </xf>
    <xf numFmtId="166" fontId="42" fillId="0" borderId="16" xfId="14" applyFont="1" applyBorder="1" applyAlignment="1" applyProtection="1">
      <alignment horizontal="centerContinuous" vertical="center"/>
    </xf>
    <xf numFmtId="166" fontId="22" fillId="0" borderId="19" xfId="14" applyFont="1" applyBorder="1" applyAlignment="1" applyProtection="1">
      <alignment horizontal="left" vertical="top"/>
    </xf>
    <xf numFmtId="166" fontId="38" fillId="0" borderId="11" xfId="14" applyFont="1" applyBorder="1" applyAlignment="1" applyProtection="1">
      <alignment horizontal="left" vertical="top"/>
    </xf>
    <xf numFmtId="166" fontId="51" fillId="0" borderId="11" xfId="14" applyFont="1" applyBorder="1" applyAlignment="1">
      <alignment horizontal="right" vertical="top"/>
    </xf>
    <xf numFmtId="166" fontId="22" fillId="0" borderId="11" xfId="14" applyFont="1" applyFill="1" applyBorder="1" applyAlignment="1">
      <alignment vertical="top"/>
    </xf>
    <xf numFmtId="166" fontId="12" fillId="0" borderId="11" xfId="14" applyFont="1" applyFill="1" applyBorder="1" applyAlignment="1">
      <alignment vertical="top"/>
    </xf>
    <xf numFmtId="166" fontId="12" fillId="0" borderId="8" xfId="14" applyFont="1" applyFill="1" applyBorder="1" applyAlignment="1">
      <alignment vertical="top"/>
    </xf>
    <xf numFmtId="166" fontId="38" fillId="0" borderId="0" xfId="14" applyFont="1" applyAlignment="1" applyProtection="1">
      <alignment horizontal="left"/>
    </xf>
    <xf numFmtId="166" fontId="12" fillId="0" borderId="18" xfId="14" applyFont="1" applyBorder="1" applyAlignment="1" applyProtection="1">
      <alignment vertical="center"/>
    </xf>
    <xf numFmtId="166" fontId="45" fillId="0" borderId="2" xfId="14" applyFont="1" applyBorder="1" applyAlignment="1" applyProtection="1">
      <alignment vertical="center"/>
    </xf>
    <xf numFmtId="166" fontId="12" fillId="0" borderId="18" xfId="14" applyFont="1" applyBorder="1" applyAlignment="1" applyProtection="1">
      <alignment vertical="center"/>
      <protection locked="0"/>
    </xf>
    <xf numFmtId="166" fontId="12" fillId="0" borderId="2" xfId="14" applyFont="1" applyBorder="1" applyAlignment="1" applyProtection="1"/>
    <xf numFmtId="166" fontId="45" fillId="0" borderId="2" xfId="14" applyFont="1" applyBorder="1" applyAlignment="1" applyProtection="1"/>
    <xf numFmtId="166" fontId="86" fillId="0" borderId="2" xfId="14" applyFont="1" applyFill="1" applyBorder="1" applyAlignment="1" applyProtection="1">
      <alignment horizontal="centerContinuous"/>
      <protection locked="0"/>
    </xf>
    <xf numFmtId="166" fontId="46" fillId="0" borderId="2" xfId="14" applyFont="1" applyFill="1" applyBorder="1" applyAlignment="1" applyProtection="1">
      <alignment horizontal="centerContinuous"/>
      <protection locked="0"/>
    </xf>
    <xf numFmtId="166" fontId="12" fillId="0" borderId="2" xfId="14" applyFont="1" applyFill="1" applyBorder="1" applyAlignment="1" applyProtection="1">
      <alignment horizontal="centerContinuous"/>
    </xf>
    <xf numFmtId="166" fontId="12" fillId="0" borderId="9" xfId="14" applyFont="1" applyFill="1" applyBorder="1" applyAlignment="1" applyProtection="1">
      <alignment horizontal="centerContinuous"/>
    </xf>
    <xf numFmtId="166" fontId="22" fillId="0" borderId="0" xfId="14" applyFont="1" applyBorder="1" applyAlignment="1">
      <alignment vertical="top"/>
    </xf>
    <xf numFmtId="166" fontId="38" fillId="0" borderId="0" xfId="14" applyFont="1" applyBorder="1" applyAlignment="1" applyProtection="1">
      <alignment horizontal="left" vertical="top"/>
    </xf>
    <xf numFmtId="166" fontId="22" fillId="0" borderId="8" xfId="14" applyFont="1" applyBorder="1" applyAlignment="1">
      <alignment vertical="top"/>
    </xf>
    <xf numFmtId="166" fontId="87" fillId="0" borderId="2" xfId="14" applyFont="1" applyBorder="1" applyAlignment="1" applyProtection="1">
      <alignment vertical="center"/>
    </xf>
    <xf numFmtId="166" fontId="45" fillId="0" borderId="9" xfId="14" applyFont="1" applyBorder="1" applyAlignment="1" applyProtection="1">
      <alignment vertical="center"/>
    </xf>
    <xf numFmtId="166" fontId="12" fillId="0" borderId="0" xfId="14" applyFont="1" applyBorder="1" applyAlignment="1" applyProtection="1">
      <alignment vertical="center"/>
      <protection locked="0"/>
    </xf>
    <xf numFmtId="166" fontId="12" fillId="0" borderId="21" xfId="14" applyFont="1" applyBorder="1" applyAlignment="1" applyProtection="1">
      <alignment vertical="center"/>
      <protection locked="0"/>
    </xf>
    <xf numFmtId="166" fontId="12" fillId="0" borderId="0" xfId="14" applyFont="1" applyBorder="1" applyAlignment="1" applyProtection="1">
      <alignment horizontal="left" vertical="center"/>
      <protection locked="0"/>
    </xf>
    <xf numFmtId="166" fontId="12" fillId="0" borderId="2" xfId="14" applyFont="1" applyBorder="1" applyAlignment="1" applyProtection="1">
      <alignment horizontal="left" vertical="center"/>
      <protection locked="0"/>
    </xf>
    <xf numFmtId="166" fontId="45" fillId="0" borderId="2" xfId="14" applyFont="1" applyBorder="1" applyAlignment="1" applyProtection="1">
      <alignment horizontal="left" vertical="center"/>
    </xf>
    <xf numFmtId="166" fontId="12" fillId="0" borderId="11" xfId="14" applyFont="1" applyBorder="1" applyAlignment="1">
      <alignment vertical="top"/>
    </xf>
    <xf numFmtId="166" fontId="12" fillId="0" borderId="8" xfId="14" applyFont="1" applyBorder="1" applyAlignment="1">
      <alignment vertical="top"/>
    </xf>
    <xf numFmtId="166" fontId="45" fillId="0" borderId="2" xfId="14" applyFont="1" applyBorder="1" applyAlignment="1" applyProtection="1">
      <alignment horizontal="left" vertical="center"/>
      <protection locked="0"/>
    </xf>
    <xf numFmtId="166" fontId="12" fillId="0" borderId="9" xfId="14" applyFont="1" applyBorder="1" applyAlignment="1" applyProtection="1">
      <alignment vertical="center"/>
      <protection locked="0"/>
    </xf>
    <xf numFmtId="166" fontId="22" fillId="0" borderId="0" xfId="14" applyFont="1" applyBorder="1" applyAlignment="1" applyProtection="1">
      <alignment vertical="center"/>
    </xf>
    <xf numFmtId="166" fontId="45" fillId="0" borderId="0" xfId="14" applyFont="1" applyBorder="1" applyAlignment="1" applyProtection="1">
      <alignment vertical="center"/>
      <protection locked="0"/>
    </xf>
    <xf numFmtId="166" fontId="22" fillId="0" borderId="18" xfId="14" applyFont="1" applyBorder="1" applyAlignment="1" applyProtection="1">
      <alignment horizontal="left" vertical="center"/>
    </xf>
    <xf numFmtId="166" fontId="12" fillId="0" borderId="2" xfId="14" applyFont="1" applyBorder="1" applyAlignment="1">
      <alignment horizontal="left" vertical="top"/>
    </xf>
    <xf numFmtId="166" fontId="12" fillId="0" borderId="2" xfId="14" applyFont="1" applyBorder="1" applyAlignment="1" applyProtection="1">
      <alignment horizontal="left" vertical="top"/>
      <protection locked="0"/>
    </xf>
    <xf numFmtId="166" fontId="12" fillId="0" borderId="2" xfId="14" applyFont="1" applyBorder="1" applyAlignment="1" applyProtection="1">
      <alignment horizontal="left" vertical="top"/>
    </xf>
    <xf numFmtId="166" fontId="22" fillId="0" borderId="2" xfId="14" applyFont="1" applyBorder="1" applyAlignment="1">
      <alignment horizontal="left" vertical="center"/>
    </xf>
    <xf numFmtId="166" fontId="21" fillId="0" borderId="2" xfId="14" applyFont="1" applyBorder="1" applyAlignment="1">
      <alignment vertical="top"/>
    </xf>
    <xf numFmtId="166" fontId="12" fillId="0" borderId="9" xfId="14" applyFont="1" applyBorder="1" applyAlignment="1">
      <alignment vertical="top"/>
    </xf>
    <xf numFmtId="166" fontId="22" fillId="0" borderId="19" xfId="14" applyFont="1" applyFill="1" applyBorder="1" applyAlignment="1" applyProtection="1">
      <alignment horizontal="left" vertical="top"/>
    </xf>
    <xf numFmtId="166" fontId="38" fillId="0" borderId="0" xfId="14" applyFont="1" applyFill="1" applyBorder="1" applyAlignment="1" applyProtection="1">
      <alignment horizontal="left"/>
    </xf>
    <xf numFmtId="166" fontId="21" fillId="0" borderId="20" xfId="14" applyFont="1" applyFill="1" applyBorder="1" applyAlignment="1">
      <alignment vertical="center"/>
    </xf>
    <xf numFmtId="166" fontId="38" fillId="0" borderId="0" xfId="14" applyFont="1" applyFill="1" applyBorder="1" applyAlignment="1"/>
    <xf numFmtId="166" fontId="21" fillId="0" borderId="11" xfId="14" applyFont="1" applyFill="1" applyBorder="1" applyAlignment="1">
      <alignment horizontal="left" vertical="top"/>
    </xf>
    <xf numFmtId="166" fontId="22" fillId="0" borderId="19" xfId="14" applyFont="1" applyFill="1" applyBorder="1" applyAlignment="1">
      <alignment vertical="center"/>
    </xf>
    <xf numFmtId="166" fontId="22" fillId="0" borderId="11" xfId="14" applyFont="1" applyFill="1" applyBorder="1" applyAlignment="1" applyProtection="1">
      <alignment vertical="center"/>
    </xf>
    <xf numFmtId="166" fontId="40" fillId="0" borderId="8" xfId="14" applyFont="1" applyFill="1" applyBorder="1" applyAlignment="1"/>
    <xf numFmtId="166" fontId="22" fillId="0" borderId="18" xfId="14" applyFont="1" applyFill="1" applyBorder="1" applyAlignment="1" applyProtection="1">
      <alignment horizontal="left" vertical="center"/>
    </xf>
    <xf numFmtId="166" fontId="22" fillId="0" borderId="2" xfId="14" applyFont="1" applyFill="1" applyBorder="1" applyAlignment="1" applyProtection="1">
      <alignment horizontal="left" vertical="center"/>
    </xf>
    <xf numFmtId="166" fontId="38" fillId="0" borderId="2" xfId="14" applyFont="1" applyFill="1" applyBorder="1" applyAlignment="1">
      <alignment vertical="top"/>
    </xf>
    <xf numFmtId="166" fontId="38" fillId="0" borderId="2" xfId="14" applyFont="1" applyFill="1" applyBorder="1"/>
    <xf numFmtId="166" fontId="21" fillId="0" borderId="2" xfId="14" applyFont="1" applyFill="1" applyBorder="1" applyAlignment="1">
      <alignment horizontal="left" vertical="center"/>
    </xf>
    <xf numFmtId="166" fontId="22" fillId="0" borderId="18" xfId="14" applyFont="1" applyFill="1" applyBorder="1" applyAlignment="1" applyProtection="1">
      <alignment horizontal="left" vertical="center"/>
      <protection locked="0"/>
    </xf>
    <xf numFmtId="166" fontId="22" fillId="0" borderId="2" xfId="14" applyFont="1" applyFill="1" applyBorder="1" applyAlignment="1">
      <alignment horizontal="left" vertical="center"/>
    </xf>
    <xf numFmtId="166" fontId="22" fillId="0" borderId="2" xfId="14" applyFont="1" applyFill="1" applyBorder="1" applyAlignment="1" applyProtection="1">
      <alignment vertical="center"/>
    </xf>
    <xf numFmtId="166" fontId="22" fillId="0" borderId="9" xfId="14" applyFont="1" applyFill="1" applyBorder="1" applyAlignment="1">
      <alignment vertical="top"/>
    </xf>
    <xf numFmtId="166" fontId="21" fillId="0" borderId="11" xfId="14" applyFont="1" applyFill="1" applyBorder="1" applyAlignment="1" applyProtection="1">
      <alignment vertical="center"/>
    </xf>
    <xf numFmtId="166" fontId="22" fillId="0" borderId="19" xfId="14" applyFont="1" applyFill="1" applyBorder="1" applyAlignment="1" applyProtection="1">
      <alignment vertical="center"/>
    </xf>
    <xf numFmtId="166" fontId="22" fillId="0" borderId="11" xfId="14" applyFont="1" applyFill="1" applyBorder="1" applyAlignment="1">
      <alignment vertical="center"/>
    </xf>
    <xf numFmtId="166" fontId="38" fillId="0" borderId="2" xfId="14" applyFont="1" applyFill="1" applyBorder="1" applyAlignment="1" applyProtection="1">
      <alignment horizontal="left" vertical="center"/>
    </xf>
    <xf numFmtId="166" fontId="22" fillId="0" borderId="18" xfId="14" applyFont="1" applyFill="1" applyBorder="1" applyAlignment="1" applyProtection="1">
      <alignment vertical="center"/>
    </xf>
    <xf numFmtId="166" fontId="22" fillId="0" borderId="2" xfId="14" applyFont="1" applyFill="1" applyBorder="1" applyAlignment="1">
      <alignment vertical="center"/>
    </xf>
    <xf numFmtId="166" fontId="22" fillId="0" borderId="17" xfId="14" applyFont="1" applyFill="1" applyBorder="1" applyAlignment="1" applyProtection="1">
      <alignment horizontal="left" vertical="center"/>
      <protection locked="0"/>
    </xf>
    <xf numFmtId="166" fontId="22" fillId="0" borderId="10" xfId="14" applyFont="1" applyFill="1" applyBorder="1" applyAlignment="1">
      <alignment horizontal="left" vertical="center"/>
    </xf>
    <xf numFmtId="166" fontId="22" fillId="0" borderId="10" xfId="14" applyFont="1" applyFill="1" applyBorder="1" applyAlignment="1" applyProtection="1">
      <alignment horizontal="left" vertical="center"/>
      <protection locked="0"/>
    </xf>
    <xf numFmtId="166" fontId="4" fillId="0" borderId="10" xfId="14" applyFont="1" applyFill="1" applyBorder="1" applyAlignment="1" applyProtection="1">
      <alignment horizontal="left" vertical="center"/>
      <protection locked="0"/>
    </xf>
    <xf numFmtId="166" fontId="12" fillId="0" borderId="10" xfId="14" applyFont="1" applyFill="1" applyBorder="1" applyAlignment="1">
      <alignment horizontal="center" vertical="center"/>
    </xf>
    <xf numFmtId="166" fontId="36" fillId="0" borderId="10" xfId="14" applyFill="1" applyBorder="1"/>
    <xf numFmtId="166" fontId="36" fillId="0" borderId="16" xfId="14" applyFill="1" applyBorder="1"/>
    <xf numFmtId="166" fontId="36" fillId="0" borderId="0" xfId="14" applyFill="1"/>
    <xf numFmtId="166" fontId="88" fillId="0" borderId="0" xfId="14" applyFont="1" applyFill="1" applyAlignment="1">
      <alignment horizontal="right" vertical="center"/>
    </xf>
    <xf numFmtId="166" fontId="42" fillId="0" borderId="0" xfId="14" applyFont="1" applyFill="1" applyAlignment="1">
      <alignment horizontal="centerContinuous" vertical="center"/>
    </xf>
    <xf numFmtId="166" fontId="38" fillId="0" borderId="0" xfId="14" applyFont="1" applyFill="1" applyAlignment="1">
      <alignment vertical="center"/>
    </xf>
    <xf numFmtId="166" fontId="22" fillId="0" borderId="20" xfId="14" applyFont="1" applyBorder="1" applyAlignment="1" applyProtection="1">
      <alignment horizontal="left" vertical="top"/>
    </xf>
    <xf numFmtId="166" fontId="22" fillId="0" borderId="21" xfId="14" applyFont="1" applyBorder="1" applyAlignment="1">
      <alignment vertical="top"/>
    </xf>
    <xf numFmtId="166" fontId="22" fillId="0" borderId="20" xfId="14" applyFont="1" applyBorder="1" applyAlignment="1">
      <alignment vertical="top"/>
    </xf>
    <xf numFmtId="166" fontId="38" fillId="0" borderId="21" xfId="14" applyFont="1" applyBorder="1"/>
    <xf numFmtId="166" fontId="42" fillId="0" borderId="21" xfId="14" applyFont="1" applyBorder="1" applyAlignment="1">
      <alignment horizontal="center"/>
    </xf>
    <xf numFmtId="166" fontId="38" fillId="0" borderId="0" xfId="14" applyFont="1" applyAlignment="1" applyProtection="1">
      <alignment horizontal="right"/>
    </xf>
    <xf numFmtId="166" fontId="21" fillId="0" borderId="0" xfId="14" applyFont="1" applyBorder="1" applyAlignment="1">
      <alignment vertical="center"/>
    </xf>
    <xf numFmtId="37" fontId="89" fillId="0" borderId="0" xfId="14" applyNumberFormat="1" applyFont="1" applyProtection="1"/>
    <xf numFmtId="166" fontId="38" fillId="0" borderId="0" xfId="14" quotePrefix="1" applyFont="1" applyBorder="1" applyAlignment="1" applyProtection="1">
      <alignment horizontal="left" vertical="top"/>
    </xf>
    <xf numFmtId="166" fontId="22" fillId="0" borderId="21" xfId="14" quotePrefix="1" applyFont="1" applyBorder="1" applyAlignment="1">
      <alignment vertical="top"/>
    </xf>
    <xf numFmtId="166" fontId="22" fillId="0" borderId="20" xfId="14" quotePrefix="1" applyFont="1" applyBorder="1" applyAlignment="1">
      <alignment vertical="top"/>
    </xf>
    <xf numFmtId="166" fontId="38" fillId="0" borderId="0" xfId="14" quotePrefix="1" applyFont="1" applyBorder="1" applyAlignment="1">
      <alignment vertical="top"/>
    </xf>
    <xf numFmtId="166" fontId="42" fillId="0" borderId="21" xfId="14" applyFont="1" applyBorder="1" applyAlignment="1">
      <alignment horizontal="center" vertical="top"/>
    </xf>
    <xf numFmtId="166" fontId="38" fillId="0" borderId="0" xfId="14" applyFont="1" applyAlignment="1" applyProtection="1">
      <alignment horizontal="right" vertical="top"/>
    </xf>
    <xf numFmtId="37" fontId="89" fillId="0" borderId="0" xfId="14" applyNumberFormat="1" applyFont="1" applyAlignment="1" applyProtection="1">
      <alignment vertical="top"/>
    </xf>
    <xf numFmtId="166" fontId="38" fillId="0" borderId="0" xfId="14" applyFont="1" applyAlignment="1" applyProtection="1">
      <alignment horizontal="left" vertical="top"/>
    </xf>
    <xf numFmtId="166" fontId="38" fillId="0" borderId="0" xfId="14" applyFont="1" applyAlignment="1">
      <alignment vertical="top"/>
    </xf>
    <xf numFmtId="166" fontId="21" fillId="0" borderId="20" xfId="14" applyFont="1" applyBorder="1" applyAlignment="1" applyProtection="1">
      <alignment horizontal="left" vertical="top"/>
    </xf>
    <xf numFmtId="166" fontId="40" fillId="0" borderId="0" xfId="14" applyFont="1" applyBorder="1" applyAlignment="1" applyProtection="1">
      <alignment horizontal="left" vertical="top"/>
    </xf>
    <xf numFmtId="166" fontId="21" fillId="0" borderId="20" xfId="14" applyFont="1" applyBorder="1" applyAlignment="1">
      <alignment horizontal="left" vertical="top"/>
    </xf>
    <xf numFmtId="166" fontId="40" fillId="0" borderId="0" xfId="14" applyFont="1" applyBorder="1" applyAlignment="1">
      <alignment vertical="top"/>
    </xf>
    <xf numFmtId="166" fontId="21" fillId="0" borderId="21" xfId="14" applyFont="1" applyBorder="1" applyAlignment="1">
      <alignment vertical="top"/>
    </xf>
    <xf numFmtId="166" fontId="21" fillId="0" borderId="19" xfId="14" applyFont="1" applyBorder="1" applyAlignment="1">
      <alignment vertical="top"/>
    </xf>
    <xf numFmtId="166" fontId="40" fillId="0" borderId="8" xfId="14" applyFont="1" applyBorder="1" applyAlignment="1">
      <alignment vertical="top"/>
    </xf>
    <xf numFmtId="166" fontId="40" fillId="0" borderId="11" xfId="14" applyFont="1" applyBorder="1" applyAlignment="1">
      <alignment vertical="top"/>
    </xf>
    <xf numFmtId="165" fontId="12" fillId="0" borderId="18" xfId="14" applyNumberFormat="1" applyFont="1" applyBorder="1" applyAlignment="1">
      <alignment horizontal="centerContinuous" vertical="top"/>
    </xf>
    <xf numFmtId="165" fontId="12" fillId="0" borderId="2" xfId="14" applyNumberFormat="1" applyFont="1" applyBorder="1" applyAlignment="1" applyProtection="1">
      <alignment horizontal="centerContinuous" vertical="top"/>
      <protection locked="0"/>
    </xf>
    <xf numFmtId="165" fontId="12" fillId="0" borderId="18" xfId="14" applyNumberFormat="1" applyFont="1" applyBorder="1" applyAlignment="1" applyProtection="1">
      <alignment horizontal="centerContinuous" vertical="top"/>
      <protection locked="0"/>
    </xf>
    <xf numFmtId="165" fontId="12" fillId="0" borderId="2" xfId="14" applyNumberFormat="1" applyFont="1" applyBorder="1" applyAlignment="1">
      <alignment horizontal="centerContinuous" vertical="top"/>
    </xf>
    <xf numFmtId="3" fontId="12" fillId="0" borderId="9" xfId="14" applyNumberFormat="1" applyFont="1" applyBorder="1" applyAlignment="1" applyProtection="1">
      <alignment horizontal="centerContinuous"/>
    </xf>
    <xf numFmtId="3" fontId="12" fillId="0" borderId="18" xfId="14" applyNumberFormat="1" applyFont="1" applyBorder="1" applyAlignment="1" applyProtection="1">
      <alignment horizontal="centerContinuous" vertical="center"/>
    </xf>
    <xf numFmtId="166" fontId="45" fillId="0" borderId="0" xfId="14" applyFont="1" applyAlignment="1">
      <alignment vertical="center"/>
    </xf>
    <xf numFmtId="166" fontId="51" fillId="0" borderId="20" xfId="14" applyFont="1" applyBorder="1" applyAlignment="1" applyProtection="1">
      <alignment horizontal="left"/>
    </xf>
    <xf numFmtId="166" fontId="12" fillId="0" borderId="0" xfId="14" applyFont="1" applyBorder="1"/>
    <xf numFmtId="166" fontId="22" fillId="0" borderId="20" xfId="14" applyFont="1" applyBorder="1" applyAlignment="1" applyProtection="1">
      <alignment horizontal="left" vertical="center"/>
    </xf>
    <xf numFmtId="166" fontId="4" fillId="0" borderId="0" xfId="14" applyFont="1" applyBorder="1" applyAlignment="1" applyProtection="1">
      <alignment vertical="center"/>
      <protection locked="0"/>
    </xf>
    <xf numFmtId="166" fontId="22" fillId="0" borderId="0" xfId="14" applyFont="1" applyBorder="1" applyAlignment="1">
      <alignment horizontal="left"/>
    </xf>
    <xf numFmtId="166" fontId="22" fillId="0" borderId="0" xfId="14" applyFont="1" applyBorder="1" applyAlignment="1" applyProtection="1">
      <alignment horizontal="left" vertical="center"/>
      <protection locked="0"/>
    </xf>
    <xf numFmtId="166" fontId="21" fillId="0" borderId="0" xfId="14" applyNumberFormat="1" applyFont="1" applyBorder="1" applyAlignment="1">
      <alignment horizontal="left"/>
    </xf>
    <xf numFmtId="166" fontId="22" fillId="0" borderId="0" xfId="14" applyFont="1" applyBorder="1"/>
    <xf numFmtId="166" fontId="4" fillId="0" borderId="0" xfId="14" applyFont="1" applyBorder="1" applyAlignment="1" applyProtection="1">
      <alignment horizontal="left" vertical="center"/>
      <protection locked="0"/>
    </xf>
    <xf numFmtId="166" fontId="36" fillId="0" borderId="0" xfId="14"/>
    <xf numFmtId="166" fontId="22" fillId="0" borderId="20" xfId="14" applyFont="1" applyBorder="1" applyAlignment="1">
      <alignment horizontal="left" vertical="center"/>
    </xf>
    <xf numFmtId="165" fontId="12" fillId="0" borderId="0" xfId="14" applyNumberFormat="1" applyFont="1" applyBorder="1" applyAlignment="1" applyProtection="1">
      <alignment horizontal="left" vertical="center"/>
      <protection locked="0"/>
    </xf>
    <xf numFmtId="166" fontId="21" fillId="0" borderId="0" xfId="14" applyFont="1" applyBorder="1" applyAlignment="1" applyProtection="1">
      <alignment horizontal="left"/>
    </xf>
    <xf numFmtId="166" fontId="21" fillId="0" borderId="0" xfId="14" applyFont="1" applyBorder="1" applyAlignment="1">
      <alignment horizontal="left"/>
    </xf>
    <xf numFmtId="166" fontId="20" fillId="0" borderId="0" xfId="14" applyFont="1" applyBorder="1" applyAlignment="1">
      <alignment horizontal="centerContinuous"/>
    </xf>
    <xf numFmtId="166" fontId="20" fillId="0" borderId="0" xfId="14" applyFont="1" applyBorder="1" applyAlignment="1" applyProtection="1">
      <alignment horizontal="left"/>
    </xf>
    <xf numFmtId="37" fontId="90" fillId="0" borderId="21" xfId="14" applyNumberFormat="1" applyFont="1" applyBorder="1" applyProtection="1"/>
    <xf numFmtId="166" fontId="12" fillId="0" borderId="20" xfId="14" applyFont="1" applyBorder="1" applyAlignment="1" applyProtection="1">
      <alignment horizontal="left" vertical="center"/>
    </xf>
    <xf numFmtId="166" fontId="20" fillId="0" borderId="21" xfId="14" applyFont="1" applyBorder="1"/>
    <xf numFmtId="166" fontId="38" fillId="0" borderId="2" xfId="14" applyFont="1" applyBorder="1" applyAlignment="1">
      <alignment vertical="center"/>
    </xf>
    <xf numFmtId="166" fontId="22" fillId="0" borderId="2" xfId="14" applyFont="1" applyBorder="1" applyAlignment="1">
      <alignment vertical="center"/>
    </xf>
    <xf numFmtId="170" fontId="43" fillId="0" borderId="2" xfId="14" applyNumberFormat="1" applyFont="1" applyBorder="1" applyAlignment="1" applyProtection="1">
      <alignment horizontal="right" vertical="center"/>
    </xf>
    <xf numFmtId="170" fontId="43" fillId="0" borderId="9" xfId="14" applyNumberFormat="1" applyFont="1" applyBorder="1" applyAlignment="1" applyProtection="1">
      <alignment horizontal="left" vertical="center"/>
      <protection locked="0"/>
    </xf>
    <xf numFmtId="166" fontId="45" fillId="0" borderId="0" xfId="14" applyFont="1" applyBorder="1" applyAlignment="1" applyProtection="1">
      <alignment horizontal="left" vertical="center"/>
      <protection locked="0"/>
    </xf>
    <xf numFmtId="166" fontId="21" fillId="0" borderId="11" xfId="14" applyFont="1" applyBorder="1" applyAlignment="1">
      <alignment horizontal="centerContinuous"/>
    </xf>
    <xf numFmtId="166" fontId="38" fillId="0" borderId="21" xfId="14" applyFont="1" applyBorder="1" applyAlignment="1">
      <alignment horizontal="centerContinuous"/>
    </xf>
    <xf numFmtId="166" fontId="38" fillId="0" borderId="0" xfId="14" applyFont="1" applyBorder="1" applyAlignment="1">
      <alignment horizontal="centerContinuous"/>
    </xf>
    <xf numFmtId="166" fontId="45" fillId="0" borderId="18" xfId="14" applyFont="1" applyBorder="1" applyAlignment="1" applyProtection="1">
      <alignment horizontal="left" vertical="center"/>
    </xf>
    <xf numFmtId="166" fontId="22" fillId="0" borderId="18" xfId="14" applyFont="1" applyBorder="1" applyAlignment="1" applyProtection="1">
      <alignment horizontal="left"/>
    </xf>
    <xf numFmtId="166" fontId="22" fillId="0" borderId="9" xfId="14" applyFont="1" applyBorder="1" applyAlignment="1" applyProtection="1">
      <alignment horizontal="left" vertical="center"/>
      <protection locked="0"/>
    </xf>
    <xf numFmtId="166" fontId="22" fillId="0" borderId="18" xfId="14" applyFont="1" applyBorder="1" applyAlignment="1" applyProtection="1">
      <alignment horizontal="left" vertical="top"/>
      <protection locked="0"/>
    </xf>
    <xf numFmtId="166" fontId="12" fillId="0" borderId="2" xfId="14" applyFont="1" applyBorder="1" applyAlignment="1">
      <alignment horizontal="centerContinuous" vertical="center"/>
    </xf>
    <xf numFmtId="166" fontId="12" fillId="0" borderId="2" xfId="14" applyFont="1" applyBorder="1" applyAlignment="1" applyProtection="1">
      <alignment horizontal="centerContinuous" vertical="center"/>
      <protection locked="0"/>
    </xf>
    <xf numFmtId="166" fontId="42" fillId="0" borderId="0" xfId="14" applyFont="1" applyBorder="1"/>
    <xf numFmtId="166" fontId="21" fillId="0" borderId="20" xfId="14" applyFont="1" applyBorder="1" applyAlignment="1">
      <alignment vertical="top"/>
    </xf>
    <xf numFmtId="166" fontId="21" fillId="0" borderId="20" xfId="14" applyFont="1" applyFill="1" applyBorder="1" applyAlignment="1">
      <alignment vertical="top"/>
    </xf>
    <xf numFmtId="166" fontId="12" fillId="0" borderId="0" xfId="14" applyFont="1" applyFill="1" applyBorder="1" applyAlignment="1" applyProtection="1">
      <alignment vertical="center"/>
      <protection locked="0"/>
    </xf>
    <xf numFmtId="166" fontId="12" fillId="0" borderId="20" xfId="14" applyFont="1" applyFill="1" applyBorder="1"/>
    <xf numFmtId="166" fontId="21" fillId="0" borderId="20" xfId="14" applyFont="1" applyFill="1" applyBorder="1"/>
    <xf numFmtId="166" fontId="21" fillId="0" borderId="0" xfId="14" applyFont="1" applyBorder="1" applyAlignment="1" applyProtection="1">
      <alignment horizontal="right" vertical="center"/>
      <protection locked="0"/>
    </xf>
    <xf numFmtId="166" fontId="21" fillId="0" borderId="20" xfId="14" applyFont="1" applyFill="1" applyBorder="1" applyAlignment="1">
      <alignment horizontal="left" wrapText="1"/>
    </xf>
    <xf numFmtId="166" fontId="38" fillId="0" borderId="22" xfId="14" applyFont="1" applyBorder="1" applyAlignment="1">
      <alignment vertical="top"/>
    </xf>
    <xf numFmtId="166" fontId="38" fillId="0" borderId="20" xfId="14" applyFont="1" applyBorder="1"/>
    <xf numFmtId="166" fontId="52" fillId="0" borderId="20" xfId="14" applyFont="1" applyBorder="1" applyAlignment="1">
      <alignment horizontal="left" vertical="center"/>
    </xf>
    <xf numFmtId="166" fontId="38" fillId="0" borderId="0" xfId="14" applyFont="1" applyBorder="1" applyAlignment="1" applyProtection="1">
      <alignment vertical="center"/>
    </xf>
    <xf numFmtId="165" fontId="12" fillId="0" borderId="23" xfId="14" quotePrefix="1" applyNumberFormat="1" applyFont="1" applyBorder="1" applyAlignment="1">
      <alignment horizontal="center"/>
    </xf>
    <xf numFmtId="166" fontId="12" fillId="0" borderId="20" xfId="14" applyFont="1" applyBorder="1" applyProtection="1"/>
    <xf numFmtId="166" fontId="12" fillId="0" borderId="0" xfId="14" applyFont="1" applyBorder="1" applyProtection="1"/>
    <xf numFmtId="165" fontId="12" fillId="0" borderId="23" xfId="14" quotePrefix="1" applyNumberFormat="1" applyFont="1" applyBorder="1" applyAlignment="1" applyProtection="1">
      <alignment horizontal="center"/>
      <protection locked="0"/>
    </xf>
    <xf numFmtId="166" fontId="38" fillId="0" borderId="18" xfId="14" applyFont="1" applyBorder="1"/>
    <xf numFmtId="166" fontId="38" fillId="0" borderId="2" xfId="14" applyFont="1" applyBorder="1"/>
    <xf numFmtId="166" fontId="38" fillId="0" borderId="18" xfId="14" applyFont="1" applyBorder="1" applyProtection="1"/>
    <xf numFmtId="166" fontId="38" fillId="0" borderId="2" xfId="14" applyFont="1" applyBorder="1" applyProtection="1"/>
    <xf numFmtId="165" fontId="12" fillId="0" borderId="24" xfId="14" quotePrefix="1" applyNumberFormat="1" applyFont="1" applyBorder="1" applyAlignment="1" applyProtection="1">
      <alignment horizontal="center"/>
    </xf>
    <xf numFmtId="0" fontId="21" fillId="0" borderId="0" xfId="11" applyFont="1" applyAlignment="1">
      <alignment vertical="top"/>
    </xf>
    <xf numFmtId="0" fontId="21" fillId="0" borderId="0" xfId="11" applyFont="1" applyAlignment="1">
      <alignment horizontal="left" vertical="top"/>
    </xf>
    <xf numFmtId="166" fontId="36" fillId="0" borderId="0" xfId="14" applyFont="1" applyAlignment="1">
      <alignment horizontal="centerContinuous" vertical="top"/>
    </xf>
    <xf numFmtId="166" fontId="38" fillId="0" borderId="0" xfId="14" applyFont="1" applyAlignment="1">
      <alignment horizontal="centerContinuous" vertical="top"/>
    </xf>
    <xf numFmtId="166" fontId="36" fillId="0" borderId="0" xfId="14" applyFont="1" applyAlignment="1">
      <alignment vertical="top"/>
    </xf>
    <xf numFmtId="0" fontId="53" fillId="0" borderId="0" xfId="11" applyFont="1" applyAlignment="1">
      <alignment horizontal="right" vertical="top"/>
    </xf>
    <xf numFmtId="166" fontId="42" fillId="0" borderId="0" xfId="14" applyFont="1"/>
    <xf numFmtId="166" fontId="42" fillId="0" borderId="0" xfId="14" applyFont="1" applyAlignment="1">
      <alignment horizontal="right"/>
    </xf>
    <xf numFmtId="166" fontId="91" fillId="0" borderId="0" xfId="14" applyFont="1" applyAlignment="1">
      <alignment horizontal="right"/>
    </xf>
    <xf numFmtId="166" fontId="92" fillId="0" borderId="0" xfId="14" applyFont="1" applyAlignment="1">
      <alignment horizontal="center"/>
    </xf>
    <xf numFmtId="166" fontId="93" fillId="0" borderId="0" xfId="14" applyFont="1" applyAlignment="1">
      <alignment horizontal="right"/>
    </xf>
    <xf numFmtId="166" fontId="94" fillId="0" borderId="0" xfId="14" applyFont="1" applyAlignment="1">
      <alignment horizontal="right"/>
    </xf>
    <xf numFmtId="166" fontId="95" fillId="0" borderId="0" xfId="14" applyFont="1" applyAlignment="1">
      <alignment horizontal="right"/>
    </xf>
    <xf numFmtId="166" fontId="96" fillId="0" borderId="0" xfId="14" applyFont="1" applyBorder="1"/>
    <xf numFmtId="166" fontId="96" fillId="0" borderId="0" xfId="14" applyFont="1" applyBorder="1" applyAlignment="1" applyProtection="1">
      <alignment horizontal="fill"/>
    </xf>
    <xf numFmtId="166" fontId="96" fillId="0" borderId="0" xfId="14" applyFont="1" applyBorder="1" applyAlignment="1" applyProtection="1">
      <alignment horizontal="left"/>
    </xf>
    <xf numFmtId="166" fontId="96" fillId="0" borderId="0" xfId="14" applyFont="1" applyBorder="1" applyProtection="1"/>
    <xf numFmtId="166" fontId="96" fillId="0" borderId="0" xfId="14" applyFont="1" applyBorder="1" applyAlignment="1" applyProtection="1">
      <alignment horizontal="right"/>
    </xf>
    <xf numFmtId="166" fontId="30" fillId="0" borderId="0" xfId="14" applyFont="1" applyBorder="1" applyAlignment="1" applyProtection="1">
      <alignment horizontal="left" vertical="center"/>
      <protection locked="0"/>
    </xf>
    <xf numFmtId="166" fontId="30" fillId="0" borderId="2" xfId="14" applyFont="1" applyBorder="1" applyAlignment="1" applyProtection="1">
      <alignment horizontal="centerContinuous" vertical="center"/>
    </xf>
    <xf numFmtId="166" fontId="30" fillId="0" borderId="2" xfId="14" quotePrefix="1" applyFont="1" applyBorder="1" applyAlignment="1" applyProtection="1">
      <alignment horizontal="right" vertical="center"/>
    </xf>
    <xf numFmtId="166" fontId="30" fillId="0" borderId="9" xfId="14" applyFont="1" applyBorder="1" applyAlignment="1">
      <alignment horizontal="centerContinuous" vertical="center"/>
    </xf>
    <xf numFmtId="166" fontId="30" fillId="0" borderId="0" xfId="14" applyFont="1" applyFill="1" applyBorder="1" applyAlignment="1" applyProtection="1">
      <alignment horizontal="left" vertical="center"/>
      <protection locked="0"/>
    </xf>
    <xf numFmtId="166" fontId="30" fillId="0" borderId="0" xfId="14" applyFont="1" applyBorder="1" applyAlignment="1" applyProtection="1">
      <alignment horizontal="center" vertical="center"/>
      <protection locked="0"/>
    </xf>
    <xf numFmtId="0" fontId="30" fillId="0" borderId="0" xfId="0" applyFont="1"/>
    <xf numFmtId="0" fontId="0" fillId="0" borderId="0" xfId="0" applyAlignment="1"/>
    <xf numFmtId="0" fontId="0" fillId="0" borderId="0" xfId="0"/>
    <xf numFmtId="0" fontId="56" fillId="0" borderId="0" xfId="10" applyFont="1" applyBorder="1" applyAlignment="1">
      <alignment horizontal="right" indent="1"/>
    </xf>
    <xf numFmtId="0" fontId="48" fillId="0" borderId="10" xfId="10" applyFont="1" applyBorder="1"/>
    <xf numFmtId="0" fontId="56" fillId="0" borderId="10" xfId="10" applyFont="1" applyBorder="1"/>
    <xf numFmtId="172" fontId="57" fillId="0" borderId="0" xfId="10" applyNumberFormat="1" applyFont="1" applyBorder="1" applyAlignment="1">
      <alignment horizontal="center"/>
    </xf>
    <xf numFmtId="172" fontId="57" fillId="0" borderId="2" xfId="10" applyNumberFormat="1" applyFont="1" applyBorder="1" applyAlignment="1">
      <alignment horizontal="center"/>
    </xf>
    <xf numFmtId="1" fontId="49" fillId="0" borderId="19" xfId="10" applyNumberFormat="1" applyFont="1" applyBorder="1" applyAlignment="1">
      <alignment horizontal="center"/>
    </xf>
    <xf numFmtId="1" fontId="49" fillId="0" borderId="20" xfId="10" applyNumberFormat="1" applyFont="1" applyBorder="1" applyAlignment="1">
      <alignment horizontal="center"/>
    </xf>
    <xf numFmtId="3" fontId="49" fillId="0" borderId="0" xfId="10" applyNumberFormat="1" applyFont="1" applyBorder="1"/>
    <xf numFmtId="0" fontId="49" fillId="0" borderId="0" xfId="10" applyFont="1" applyBorder="1" applyAlignment="1">
      <alignment horizontal="left"/>
    </xf>
    <xf numFmtId="0" fontId="58" fillId="0" borderId="0" xfId="10" applyFont="1" applyAlignment="1">
      <alignment vertical="center"/>
    </xf>
    <xf numFmtId="0" fontId="58" fillId="0" borderId="0" xfId="10" applyFont="1" applyAlignment="1">
      <alignment vertical="top"/>
    </xf>
    <xf numFmtId="0" fontId="57" fillId="0" borderId="24" xfId="10" applyFont="1" applyBorder="1" applyAlignment="1">
      <alignment horizontal="center"/>
    </xf>
    <xf numFmtId="0" fontId="57" fillId="0" borderId="8" xfId="10" applyFont="1" applyBorder="1" applyAlignment="1">
      <alignment horizontal="center"/>
    </xf>
    <xf numFmtId="0" fontId="57" fillId="0" borderId="22" xfId="10" applyFont="1" applyBorder="1" applyAlignment="1">
      <alignment horizontal="center"/>
    </xf>
    <xf numFmtId="0" fontId="57" fillId="0" borderId="21" xfId="10" applyFont="1" applyBorder="1" applyAlignment="1">
      <alignment horizontal="center"/>
    </xf>
    <xf numFmtId="0" fontId="57" fillId="0" borderId="23" xfId="10" applyFont="1" applyBorder="1" applyAlignment="1">
      <alignment horizontal="center"/>
    </xf>
    <xf numFmtId="0" fontId="57" fillId="0" borderId="9" xfId="10" applyFont="1" applyBorder="1" applyAlignment="1">
      <alignment horizontal="center"/>
    </xf>
    <xf numFmtId="0" fontId="57" fillId="0" borderId="18" xfId="10" applyFont="1" applyBorder="1" applyAlignment="1">
      <alignment horizontal="center"/>
    </xf>
    <xf numFmtId="0" fontId="57" fillId="0" borderId="8" xfId="10" applyFont="1" applyBorder="1"/>
    <xf numFmtId="0" fontId="57" fillId="0" borderId="9" xfId="10" applyFont="1" applyBorder="1"/>
    <xf numFmtId="0" fontId="57" fillId="0" borderId="11" xfId="10" applyFont="1" applyBorder="1" applyAlignment="1">
      <alignment vertical="top"/>
    </xf>
    <xf numFmtId="0" fontId="0" fillId="0" borderId="11" xfId="0" applyBorder="1" applyAlignment="1">
      <alignment vertical="top"/>
    </xf>
    <xf numFmtId="0" fontId="0" fillId="0" borderId="8" xfId="0" applyBorder="1" applyAlignment="1">
      <alignment vertical="top"/>
    </xf>
    <xf numFmtId="0" fontId="0" fillId="0" borderId="0" xfId="0" applyAlignment="1">
      <alignment vertical="top"/>
    </xf>
    <xf numFmtId="0" fontId="0" fillId="0" borderId="21" xfId="0" applyBorder="1" applyAlignment="1">
      <alignment vertical="top"/>
    </xf>
    <xf numFmtId="0" fontId="0" fillId="0" borderId="2" xfId="0" applyBorder="1" applyAlignment="1">
      <alignment vertical="top"/>
    </xf>
    <xf numFmtId="0" fontId="0" fillId="0" borderId="9" xfId="0" applyBorder="1" applyAlignment="1">
      <alignment vertical="top"/>
    </xf>
    <xf numFmtId="0" fontId="4" fillId="0" borderId="0" xfId="0" applyFont="1" applyAlignment="1">
      <alignment vertical="top"/>
    </xf>
    <xf numFmtId="0" fontId="4" fillId="0" borderId="2" xfId="0" applyFont="1" applyBorder="1" applyAlignment="1">
      <alignment vertical="top"/>
    </xf>
    <xf numFmtId="0" fontId="4" fillId="0" borderId="0" xfId="11" applyFont="1" applyAlignment="1"/>
    <xf numFmtId="0" fontId="21" fillId="0" borderId="0" xfId="11" applyFont="1" applyAlignment="1"/>
    <xf numFmtId="166" fontId="21" fillId="0" borderId="0" xfId="16" applyFont="1"/>
    <xf numFmtId="0" fontId="19" fillId="0" borderId="0" xfId="17" applyFont="1"/>
    <xf numFmtId="0" fontId="30" fillId="0" borderId="0" xfId="11" applyFont="1" applyAlignment="1">
      <alignment horizontal="right" vertical="top"/>
    </xf>
    <xf numFmtId="0" fontId="19" fillId="0" borderId="2" xfId="17" applyFont="1" applyBorder="1"/>
    <xf numFmtId="171" fontId="98" fillId="0" borderId="2" xfId="16" applyNumberFormat="1" applyFont="1" applyBorder="1" applyAlignment="1">
      <alignment horizontal="center" vertical="center"/>
    </xf>
    <xf numFmtId="171" fontId="5" fillId="0" borderId="2" xfId="16" applyNumberFormat="1" applyFont="1" applyBorder="1" applyAlignment="1">
      <alignment horizontal="right" vertical="center"/>
    </xf>
    <xf numFmtId="0" fontId="19" fillId="0" borderId="0" xfId="17" applyFont="1" applyBorder="1"/>
    <xf numFmtId="0" fontId="100" fillId="0" borderId="10" xfId="18" applyFont="1" applyBorder="1" applyAlignment="1">
      <alignment horizontal="centerContinuous" vertical="center"/>
    </xf>
    <xf numFmtId="0" fontId="5" fillId="0" borderId="10" xfId="18" applyFont="1" applyBorder="1" applyAlignment="1">
      <alignment horizontal="centerContinuous" vertical="center"/>
    </xf>
    <xf numFmtId="0" fontId="4" fillId="0" borderId="10" xfId="18" applyFont="1" applyBorder="1" applyAlignment="1">
      <alignment horizontal="centerContinuous" vertical="center"/>
    </xf>
    <xf numFmtId="0" fontId="101" fillId="0" borderId="0" xfId="18" applyFont="1" applyBorder="1" applyAlignment="1">
      <alignment vertical="center"/>
    </xf>
    <xf numFmtId="0" fontId="102" fillId="0" borderId="0" xfId="18" applyFont="1" applyBorder="1" applyAlignment="1">
      <alignment vertical="top"/>
    </xf>
    <xf numFmtId="0" fontId="21" fillId="0" borderId="0" xfId="18" applyFont="1" applyBorder="1" applyAlignment="1">
      <alignment vertical="center"/>
    </xf>
    <xf numFmtId="0" fontId="7" fillId="0" borderId="0" xfId="18" applyFont="1" applyBorder="1" applyAlignment="1">
      <alignment vertical="center"/>
    </xf>
    <xf numFmtId="0" fontId="4" fillId="0" borderId="0" xfId="18" applyFont="1" applyBorder="1" applyAlignment="1">
      <alignment vertical="center"/>
    </xf>
    <xf numFmtId="0" fontId="4" fillId="0" borderId="0" xfId="18" applyFont="1" applyBorder="1" applyAlignment="1" applyProtection="1">
      <alignment horizontal="right" vertical="center"/>
      <protection locked="0"/>
    </xf>
    <xf numFmtId="0" fontId="30" fillId="0" borderId="0" xfId="18" applyFont="1" applyBorder="1" applyAlignment="1"/>
    <xf numFmtId="0" fontId="21" fillId="0" borderId="0" xfId="18" applyFont="1" applyBorder="1" applyAlignment="1"/>
    <xf numFmtId="0" fontId="8" fillId="0" borderId="0" xfId="18" applyFont="1" applyBorder="1" applyAlignment="1"/>
    <xf numFmtId="0" fontId="8" fillId="0" borderId="2" xfId="18" applyFont="1" applyBorder="1" applyAlignment="1" applyProtection="1">
      <protection locked="0"/>
    </xf>
    <xf numFmtId="0" fontId="8" fillId="0" borderId="2" xfId="18" applyFont="1" applyBorder="1" applyAlignment="1"/>
    <xf numFmtId="0" fontId="30" fillId="0" borderId="2" xfId="18" applyFont="1" applyBorder="1" applyAlignment="1"/>
    <xf numFmtId="0" fontId="21" fillId="0" borderId="2" xfId="18" applyFont="1" applyBorder="1" applyAlignment="1"/>
    <xf numFmtId="0" fontId="4" fillId="0" borderId="2" xfId="18" applyFont="1" applyBorder="1" applyAlignment="1">
      <alignment vertical="center"/>
    </xf>
    <xf numFmtId="0" fontId="103" fillId="0" borderId="0" xfId="18" applyFont="1" applyBorder="1" applyAlignment="1">
      <alignment vertical="top"/>
    </xf>
    <xf numFmtId="0" fontId="8" fillId="0" borderId="0" xfId="18" applyFont="1" applyBorder="1" applyAlignment="1">
      <alignment vertical="center"/>
    </xf>
    <xf numFmtId="166" fontId="97" fillId="0" borderId="0" xfId="16"/>
    <xf numFmtId="0" fontId="101" fillId="0" borderId="0" xfId="18" applyFont="1" applyBorder="1" applyAlignment="1"/>
    <xf numFmtId="0" fontId="101" fillId="0" borderId="2" xfId="18" applyFont="1" applyBorder="1" applyAlignment="1">
      <alignment vertical="center"/>
    </xf>
    <xf numFmtId="0" fontId="20" fillId="0" borderId="2" xfId="18" applyFont="1" applyBorder="1" applyAlignment="1"/>
    <xf numFmtId="0" fontId="103" fillId="0" borderId="0" xfId="18" applyFont="1" applyBorder="1" applyAlignment="1">
      <alignment vertical="center"/>
    </xf>
    <xf numFmtId="0" fontId="22" fillId="0" borderId="0" xfId="18" applyFont="1" applyBorder="1" applyAlignment="1">
      <alignment horizontal="right"/>
    </xf>
    <xf numFmtId="0" fontId="20" fillId="0" borderId="0" xfId="18" applyFont="1" applyBorder="1" applyAlignment="1"/>
    <xf numFmtId="0" fontId="30" fillId="0" borderId="0" xfId="18" applyFont="1" applyBorder="1" applyAlignment="1">
      <alignment horizontal="left" vertical="top"/>
    </xf>
    <xf numFmtId="0" fontId="8" fillId="0" borderId="0" xfId="18" applyFont="1" applyBorder="1" applyAlignment="1" applyProtection="1">
      <alignment horizontal="centerContinuous"/>
      <protection locked="0"/>
    </xf>
    <xf numFmtId="0" fontId="8" fillId="0" borderId="0" xfId="18" applyFont="1" applyBorder="1" applyAlignment="1">
      <alignment horizontal="centerContinuous"/>
    </xf>
    <xf numFmtId="0" fontId="8" fillId="0" borderId="0" xfId="18" applyFont="1" applyBorder="1" applyAlignment="1" applyProtection="1">
      <alignment horizontal="center"/>
      <protection locked="0"/>
    </xf>
    <xf numFmtId="0" fontId="4" fillId="0" borderId="0" xfId="18" applyFont="1" applyBorder="1" applyAlignment="1" applyProtection="1">
      <alignment horizontal="center"/>
      <protection locked="0"/>
    </xf>
    <xf numFmtId="0" fontId="4" fillId="0" borderId="0" xfId="18" applyFont="1" applyBorder="1" applyAlignment="1" applyProtection="1">
      <alignment horizontal="center" vertical="center"/>
      <protection locked="0"/>
    </xf>
    <xf numFmtId="0" fontId="101" fillId="0" borderId="0" xfId="18" applyFont="1" applyBorder="1" applyAlignment="1">
      <alignment vertical="top"/>
    </xf>
    <xf numFmtId="0" fontId="30" fillId="0" borderId="0" xfId="18" applyFont="1" applyBorder="1" applyAlignment="1">
      <alignment horizontal="left" vertical="center"/>
    </xf>
    <xf numFmtId="0" fontId="22" fillId="0" borderId="0" xfId="18" applyFont="1" applyAlignment="1"/>
    <xf numFmtId="0" fontId="8" fillId="0" borderId="0" xfId="18" applyFont="1" applyBorder="1" applyAlignment="1">
      <alignment vertical="top"/>
    </xf>
    <xf numFmtId="0" fontId="21" fillId="0" borderId="0" xfId="18" applyFont="1" applyBorder="1" applyAlignment="1">
      <alignment vertical="top"/>
    </xf>
    <xf numFmtId="166" fontId="8" fillId="0" borderId="0" xfId="16" applyFont="1" applyBorder="1"/>
    <xf numFmtId="0" fontId="8" fillId="0" borderId="2" xfId="18" applyFont="1" applyBorder="1" applyAlignment="1" applyProtection="1">
      <alignment vertical="center"/>
      <protection locked="0"/>
    </xf>
    <xf numFmtId="0" fontId="8" fillId="0" borderId="10" xfId="18" applyFont="1" applyBorder="1" applyAlignment="1"/>
    <xf numFmtId="0" fontId="21" fillId="0" borderId="10" xfId="18" applyFont="1" applyBorder="1" applyAlignment="1"/>
    <xf numFmtId="0" fontId="4" fillId="0" borderId="10" xfId="18" applyFont="1" applyBorder="1" applyAlignment="1">
      <alignment vertical="center"/>
    </xf>
    <xf numFmtId="0" fontId="30" fillId="0" borderId="0" xfId="18" applyFont="1" applyBorder="1" applyAlignment="1">
      <alignment vertical="center"/>
    </xf>
    <xf numFmtId="0" fontId="30" fillId="0" borderId="10" xfId="18" applyFont="1" applyBorder="1" applyAlignment="1">
      <alignment wrapText="1"/>
    </xf>
    <xf numFmtId="0" fontId="21" fillId="0" borderId="11" xfId="18" applyFont="1" applyBorder="1" applyAlignment="1"/>
    <xf numFmtId="0" fontId="4" fillId="0" borderId="11" xfId="18" applyFont="1" applyBorder="1" applyAlignment="1">
      <alignment vertical="center"/>
    </xf>
    <xf numFmtId="0" fontId="30" fillId="0" borderId="11" xfId="18" applyFont="1" applyBorder="1" applyAlignment="1" applyProtection="1">
      <alignment horizontal="left" vertical="center"/>
      <protection locked="0"/>
    </xf>
    <xf numFmtId="0" fontId="30" fillId="0" borderId="11" xfId="18" applyFont="1" applyBorder="1" applyAlignment="1">
      <alignment vertical="center"/>
    </xf>
    <xf numFmtId="0" fontId="8" fillId="0" borderId="11" xfId="18" applyFont="1" applyBorder="1" applyAlignment="1">
      <alignment vertical="center"/>
    </xf>
    <xf numFmtId="0" fontId="4" fillId="0" borderId="11" xfId="18" applyFont="1" applyBorder="1" applyAlignment="1">
      <alignment horizontal="left" vertical="center" wrapText="1"/>
    </xf>
    <xf numFmtId="0" fontId="30" fillId="0" borderId="11" xfId="18" applyFont="1" applyBorder="1" applyAlignment="1">
      <alignment horizontal="left" vertical="center" wrapText="1"/>
    </xf>
    <xf numFmtId="0" fontId="30" fillId="0" borderId="11" xfId="18" applyFont="1" applyBorder="1" applyAlignment="1">
      <alignment horizontal="left" wrapText="1"/>
    </xf>
    <xf numFmtId="0" fontId="30" fillId="0" borderId="11" xfId="18" applyFont="1" applyBorder="1" applyAlignment="1">
      <alignment wrapText="1"/>
    </xf>
    <xf numFmtId="0" fontId="4" fillId="0" borderId="2" xfId="18" applyFont="1" applyBorder="1" applyAlignment="1" applyProtection="1">
      <alignment horizontal="right" vertical="center"/>
      <protection locked="0"/>
    </xf>
    <xf numFmtId="0" fontId="30" fillId="0" borderId="2" xfId="18" applyFont="1" applyBorder="1" applyAlignment="1">
      <alignment vertical="center"/>
    </xf>
    <xf numFmtId="0" fontId="8" fillId="0" borderId="2" xfId="18" applyFont="1" applyBorder="1" applyAlignment="1">
      <alignment vertical="center"/>
    </xf>
    <xf numFmtId="0" fontId="30" fillId="0" borderId="2" xfId="18" applyFont="1" applyBorder="1" applyAlignment="1">
      <alignment wrapText="1"/>
    </xf>
    <xf numFmtId="0" fontId="30" fillId="0" borderId="2" xfId="18" applyFont="1" applyBorder="1" applyAlignment="1">
      <alignment horizontal="right" vertical="center"/>
    </xf>
    <xf numFmtId="0" fontId="104" fillId="0" borderId="0" xfId="19" applyFont="1" applyBorder="1" applyAlignment="1">
      <alignment vertical="top"/>
    </xf>
    <xf numFmtId="166" fontId="12" fillId="0" borderId="0" xfId="16" applyFont="1" applyBorder="1" applyAlignment="1"/>
    <xf numFmtId="166" fontId="4" fillId="0" borderId="0" xfId="16" applyFont="1" applyBorder="1" applyAlignment="1"/>
    <xf numFmtId="0" fontId="24" fillId="0" borderId="0" xfId="18" applyFont="1" applyBorder="1" applyAlignment="1"/>
    <xf numFmtId="0" fontId="106" fillId="0" borderId="0" xfId="18" applyFont="1" applyBorder="1" applyAlignment="1">
      <alignment vertical="center"/>
    </xf>
    <xf numFmtId="0" fontId="30" fillId="0" borderId="0" xfId="19" applyFont="1" applyAlignment="1">
      <alignment horizontal="left" vertical="top"/>
    </xf>
    <xf numFmtId="0" fontId="107" fillId="0" borderId="0" xfId="19" applyFont="1" applyAlignment="1">
      <alignment horizontal="left"/>
    </xf>
    <xf numFmtId="0" fontId="21" fillId="0" borderId="0" xfId="18" applyFont="1" applyAlignment="1">
      <alignment horizontal="left"/>
    </xf>
    <xf numFmtId="166" fontId="4" fillId="0" borderId="0" xfId="16" applyFont="1" applyAlignment="1">
      <alignment horizontal="left"/>
    </xf>
    <xf numFmtId="0" fontId="24" fillId="0" borderId="0" xfId="18" applyFont="1" applyBorder="1" applyAlignment="1">
      <alignment horizontal="left"/>
    </xf>
    <xf numFmtId="0" fontId="106" fillId="0" borderId="0" xfId="18" applyFont="1" applyBorder="1" applyAlignment="1"/>
    <xf numFmtId="0" fontId="30" fillId="0" borderId="0" xfId="19" applyFont="1" applyBorder="1" applyAlignment="1">
      <alignment vertical="top"/>
    </xf>
    <xf numFmtId="0" fontId="21" fillId="0" borderId="0" xfId="19" applyFont="1" applyBorder="1" applyAlignment="1">
      <alignment vertical="top"/>
    </xf>
    <xf numFmtId="166" fontId="4" fillId="0" borderId="0" xfId="16" applyFont="1" applyBorder="1" applyAlignment="1">
      <alignment vertical="top"/>
    </xf>
    <xf numFmtId="0" fontId="24" fillId="0" borderId="0" xfId="18" applyFont="1" applyBorder="1" applyAlignment="1">
      <alignment vertical="top"/>
    </xf>
    <xf numFmtId="0" fontId="106" fillId="0" borderId="0" xfId="18" applyFont="1" applyBorder="1" applyAlignment="1">
      <alignment vertical="top"/>
    </xf>
    <xf numFmtId="0" fontId="30" fillId="0" borderId="16" xfId="19" applyFont="1" applyBorder="1" applyAlignment="1">
      <alignment horizontal="left" vertical="center"/>
    </xf>
    <xf numFmtId="0" fontId="108" fillId="0" borderId="17" xfId="19" applyFont="1" applyBorder="1" applyAlignment="1">
      <alignment horizontal="centerContinuous"/>
    </xf>
    <xf numFmtId="0" fontId="108" fillId="0" borderId="10" xfId="19" applyFont="1" applyBorder="1" applyAlignment="1">
      <alignment horizontal="centerContinuous"/>
    </xf>
    <xf numFmtId="0" fontId="30" fillId="0" borderId="10" xfId="19" applyFont="1" applyBorder="1" applyAlignment="1">
      <alignment horizontal="left" vertical="top"/>
    </xf>
    <xf numFmtId="166" fontId="4" fillId="0" borderId="10" xfId="16" applyFont="1" applyBorder="1" applyAlignment="1">
      <alignment horizontal="centerContinuous"/>
    </xf>
    <xf numFmtId="0" fontId="21" fillId="0" borderId="10" xfId="19" applyFont="1" applyBorder="1" applyAlignment="1">
      <alignment horizontal="centerContinuous"/>
    </xf>
    <xf numFmtId="0" fontId="30" fillId="0" borderId="10" xfId="19" applyFont="1" applyBorder="1" applyAlignment="1">
      <alignment horizontal="centerContinuous"/>
    </xf>
    <xf numFmtId="0" fontId="4" fillId="0" borderId="10" xfId="18" applyFont="1" applyBorder="1" applyAlignment="1">
      <alignment horizontal="left"/>
    </xf>
    <xf numFmtId="0" fontId="108" fillId="0" borderId="0" xfId="19" applyFont="1" applyProtection="1">
      <protection locked="0"/>
    </xf>
    <xf numFmtId="0" fontId="108" fillId="0" borderId="11" xfId="19" applyFont="1" applyBorder="1" applyProtection="1">
      <protection locked="0"/>
    </xf>
    <xf numFmtId="0" fontId="108" fillId="0" borderId="0" xfId="19" applyFont="1" applyBorder="1" applyProtection="1">
      <protection locked="0"/>
    </xf>
    <xf numFmtId="0" fontId="4" fillId="0" borderId="0" xfId="19" applyFont="1" applyBorder="1" applyProtection="1">
      <protection locked="0"/>
    </xf>
    <xf numFmtId="0" fontId="4" fillId="0" borderId="11" xfId="19" applyFont="1" applyBorder="1" applyProtection="1">
      <protection locked="0"/>
    </xf>
    <xf numFmtId="0" fontId="4" fillId="0" borderId="0" xfId="19" applyFont="1" applyProtection="1">
      <protection locked="0"/>
    </xf>
    <xf numFmtId="0" fontId="4" fillId="0" borderId="0" xfId="18" applyFont="1" applyProtection="1">
      <protection locked="0"/>
    </xf>
    <xf numFmtId="0" fontId="4" fillId="0" borderId="2" xfId="19" applyFont="1" applyBorder="1"/>
    <xf numFmtId="0" fontId="4" fillId="0" borderId="2" xfId="18" applyFont="1" applyBorder="1"/>
    <xf numFmtId="0" fontId="102" fillId="0" borderId="0" xfId="18" applyFont="1" applyAlignment="1">
      <alignment vertical="top"/>
    </xf>
    <xf numFmtId="0" fontId="21" fillId="0" borderId="0" xfId="18" applyFont="1" applyAlignment="1">
      <alignment vertical="top"/>
    </xf>
    <xf numFmtId="0" fontId="110" fillId="0" borderId="0" xfId="18" applyFont="1" applyAlignment="1">
      <alignment vertical="center"/>
    </xf>
    <xf numFmtId="166" fontId="110" fillId="0" borderId="0" xfId="16" applyFont="1" applyAlignment="1">
      <alignment vertical="center"/>
    </xf>
    <xf numFmtId="0" fontId="110" fillId="0" borderId="11" xfId="18" applyFont="1" applyBorder="1" applyAlignment="1">
      <alignment vertical="center"/>
    </xf>
    <xf numFmtId="0" fontId="110" fillId="0" borderId="0" xfId="18" applyFont="1" applyBorder="1" applyAlignment="1">
      <alignment vertical="center"/>
    </xf>
    <xf numFmtId="0" fontId="110" fillId="0" borderId="0" xfId="18" applyFont="1" applyAlignment="1">
      <alignment horizontal="right"/>
    </xf>
    <xf numFmtId="0" fontId="30" fillId="0" borderId="0" xfId="18" applyFont="1" applyAlignment="1">
      <alignment vertical="top"/>
    </xf>
    <xf numFmtId="0" fontId="110" fillId="0" borderId="0" xfId="18" applyFont="1" applyAlignment="1">
      <alignment vertical="top"/>
    </xf>
    <xf numFmtId="166" fontId="110" fillId="0" borderId="0" xfId="16" applyFont="1" applyAlignment="1">
      <alignment vertical="top"/>
    </xf>
    <xf numFmtId="0" fontId="110" fillId="0" borderId="0" xfId="18" applyFont="1" applyBorder="1" applyAlignment="1">
      <alignment vertical="top"/>
    </xf>
    <xf numFmtId="0" fontId="110" fillId="0" borderId="0" xfId="18" applyFont="1" applyAlignment="1">
      <alignment horizontal="right" vertical="top"/>
    </xf>
    <xf numFmtId="166" fontId="97" fillId="0" borderId="0" xfId="16" applyAlignment="1">
      <alignment vertical="top"/>
    </xf>
    <xf numFmtId="0" fontId="102" fillId="0" borderId="11" xfId="19" quotePrefix="1" applyFont="1" applyBorder="1" applyAlignment="1">
      <alignment vertical="top"/>
    </xf>
    <xf numFmtId="0" fontId="24" fillId="0" borderId="11" xfId="19" applyFont="1" applyBorder="1"/>
    <xf numFmtId="0" fontId="21" fillId="0" borderId="11" xfId="19" applyFont="1" applyBorder="1"/>
    <xf numFmtId="0" fontId="4" fillId="0" borderId="11" xfId="18" applyFont="1" applyBorder="1"/>
    <xf numFmtId="0" fontId="111" fillId="0" borderId="0" xfId="18" applyFont="1" applyBorder="1"/>
    <xf numFmtId="0" fontId="30" fillId="0" borderId="0" xfId="19" applyFont="1"/>
    <xf numFmtId="0" fontId="21" fillId="0" borderId="0" xfId="18" applyFont="1" applyBorder="1"/>
    <xf numFmtId="165" fontId="12" fillId="0" borderId="0" xfId="18" quotePrefix="1" applyNumberFormat="1" applyFont="1" applyBorder="1" applyAlignment="1" applyProtection="1">
      <alignment horizontal="centerContinuous"/>
      <protection locked="0"/>
    </xf>
    <xf numFmtId="165" fontId="12" fillId="0" borderId="2" xfId="18" quotePrefix="1" applyNumberFormat="1" applyFont="1" applyBorder="1" applyAlignment="1">
      <alignment horizontal="centerContinuous"/>
    </xf>
    <xf numFmtId="165" fontId="12" fillId="0" borderId="2" xfId="18" applyNumberFormat="1" applyFont="1" applyBorder="1" applyAlignment="1">
      <alignment horizontal="centerContinuous"/>
    </xf>
    <xf numFmtId="0" fontId="12" fillId="0" borderId="2" xfId="18" applyFont="1" applyBorder="1" applyAlignment="1" applyProtection="1">
      <alignment horizontal="center" vertical="center"/>
      <protection locked="0"/>
    </xf>
    <xf numFmtId="0" fontId="38" fillId="0" borderId="0" xfId="18" applyFont="1" applyBorder="1"/>
    <xf numFmtId="0" fontId="30" fillId="0" borderId="0" xfId="19" applyFont="1" applyAlignment="1"/>
    <xf numFmtId="0" fontId="12" fillId="0" borderId="11" xfId="18" applyFont="1" applyBorder="1"/>
    <xf numFmtId="0" fontId="12" fillId="0" borderId="2" xfId="18" applyFont="1" applyBorder="1" applyAlignment="1" applyProtection="1">
      <alignment horizontal="centerContinuous"/>
      <protection locked="0"/>
    </xf>
    <xf numFmtId="0" fontId="12" fillId="0" borderId="2" xfId="18" applyFont="1" applyBorder="1" applyAlignment="1">
      <alignment horizontal="centerContinuous"/>
    </xf>
    <xf numFmtId="0" fontId="12" fillId="0" borderId="2" xfId="18" applyFont="1" applyBorder="1"/>
    <xf numFmtId="0" fontId="30" fillId="0" borderId="0" xfId="18" applyFont="1" applyBorder="1"/>
    <xf numFmtId="0" fontId="4" fillId="0" borderId="0" xfId="18" applyFont="1" applyBorder="1" applyAlignment="1">
      <alignment horizontal="right" vertical="center"/>
    </xf>
    <xf numFmtId="0" fontId="12" fillId="0" borderId="2" xfId="18" applyFont="1" applyBorder="1" applyAlignment="1">
      <alignment horizontal="left"/>
    </xf>
    <xf numFmtId="165" fontId="12" fillId="0" borderId="0" xfId="18" applyNumberFormat="1" applyFont="1" applyBorder="1" applyAlignment="1" applyProtection="1">
      <alignment horizontal="center"/>
      <protection locked="0"/>
    </xf>
    <xf numFmtId="165" fontId="12" fillId="0" borderId="2" xfId="18" applyNumberFormat="1" applyFont="1" applyBorder="1" applyAlignment="1" applyProtection="1">
      <alignment horizontal="center"/>
      <protection locked="0"/>
    </xf>
    <xf numFmtId="0" fontId="12" fillId="0" borderId="0" xfId="18" applyFont="1" applyBorder="1" applyAlignment="1" applyProtection="1">
      <alignment horizontal="centerContinuous"/>
      <protection locked="0"/>
    </xf>
    <xf numFmtId="0" fontId="12" fillId="0" borderId="0" xfId="18" applyFont="1" applyBorder="1" applyAlignment="1">
      <alignment horizontal="centerContinuous"/>
    </xf>
    <xf numFmtId="0" fontId="12" fillId="0" borderId="0" xfId="18" applyFont="1" applyBorder="1" applyAlignment="1">
      <alignment horizontal="left"/>
    </xf>
    <xf numFmtId="0" fontId="12" fillId="0" borderId="0" xfId="18" applyFont="1" applyBorder="1"/>
    <xf numFmtId="0" fontId="30" fillId="0" borderId="0" xfId="19" applyFont="1" applyAlignment="1">
      <alignment vertical="top"/>
    </xf>
    <xf numFmtId="0" fontId="4" fillId="0" borderId="0" xfId="18" applyFont="1" applyBorder="1"/>
    <xf numFmtId="166" fontId="30" fillId="0" borderId="0" xfId="16" applyFont="1" applyAlignment="1"/>
    <xf numFmtId="0" fontId="112" fillId="0" borderId="0" xfId="18" applyFont="1" applyBorder="1" applyAlignment="1"/>
    <xf numFmtId="0" fontId="30" fillId="0" borderId="0" xfId="19" applyFont="1" applyAlignment="1">
      <alignment horizontal="right"/>
    </xf>
    <xf numFmtId="2" fontId="102" fillId="0" borderId="0" xfId="19" applyNumberFormat="1" applyFont="1" applyBorder="1" applyAlignment="1" applyProtection="1">
      <alignment horizontal="center" vertical="top"/>
      <protection locked="0"/>
    </xf>
    <xf numFmtId="0" fontId="113" fillId="0" borderId="0" xfId="18" applyFont="1" applyBorder="1"/>
    <xf numFmtId="0" fontId="12" fillId="0" borderId="0" xfId="19" applyFont="1" applyBorder="1" applyAlignment="1">
      <alignment horizontal="right"/>
    </xf>
    <xf numFmtId="37" fontId="46" fillId="0" borderId="2" xfId="19" applyNumberFormat="1" applyFont="1" applyBorder="1" applyAlignment="1" applyProtection="1"/>
    <xf numFmtId="166" fontId="97" fillId="0" borderId="0" xfId="16" applyFont="1"/>
    <xf numFmtId="0" fontId="4" fillId="0" borderId="0" xfId="19" applyFont="1"/>
    <xf numFmtId="166" fontId="4" fillId="0" borderId="0" xfId="16" applyFont="1"/>
    <xf numFmtId="0" fontId="4" fillId="0" borderId="0" xfId="19" applyFont="1" applyAlignment="1">
      <alignment horizontal="right"/>
    </xf>
    <xf numFmtId="37" fontId="46" fillId="0" borderId="35" xfId="19" applyNumberFormat="1" applyFont="1" applyBorder="1" applyAlignment="1" applyProtection="1"/>
    <xf numFmtId="0" fontId="30" fillId="0" borderId="0" xfId="19" applyFont="1" applyAlignment="1">
      <alignment vertical="center"/>
    </xf>
    <xf numFmtId="0" fontId="21" fillId="0" borderId="0" xfId="19" applyFont="1"/>
    <xf numFmtId="0" fontId="114" fillId="0" borderId="0" xfId="19" applyFont="1" applyAlignment="1">
      <alignment vertical="center"/>
    </xf>
    <xf numFmtId="0" fontId="4" fillId="0" borderId="0" xfId="19" applyFont="1" applyAlignment="1">
      <alignment vertical="center"/>
    </xf>
    <xf numFmtId="0" fontId="114" fillId="0" borderId="0" xfId="19" applyFont="1" applyBorder="1" applyAlignment="1">
      <alignment vertical="top"/>
    </xf>
    <xf numFmtId="0" fontId="21" fillId="0" borderId="0" xfId="19" applyFont="1" applyBorder="1"/>
    <xf numFmtId="0" fontId="101" fillId="0" borderId="0" xfId="18" applyFont="1" applyBorder="1"/>
    <xf numFmtId="0" fontId="102" fillId="0" borderId="11" xfId="19" applyFont="1" applyBorder="1" applyAlignment="1">
      <alignment vertical="top"/>
    </xf>
    <xf numFmtId="0" fontId="21" fillId="0" borderId="11" xfId="19" applyFont="1" applyBorder="1" applyAlignment="1">
      <alignment vertical="top"/>
    </xf>
    <xf numFmtId="0" fontId="30" fillId="0" borderId="0" xfId="19" applyFont="1" applyBorder="1" applyAlignment="1">
      <alignment horizontal="right" vertical="top"/>
    </xf>
    <xf numFmtId="0" fontId="30" fillId="0" borderId="11" xfId="17" applyFont="1" applyBorder="1" applyAlignment="1">
      <alignment vertical="center"/>
    </xf>
    <xf numFmtId="0" fontId="21" fillId="0" borderId="11" xfId="17" applyFont="1" applyBorder="1" applyAlignment="1">
      <alignment vertical="center"/>
    </xf>
    <xf numFmtId="166" fontId="4" fillId="0" borderId="11" xfId="16" applyFont="1" applyBorder="1" applyAlignment="1">
      <alignment vertical="center"/>
    </xf>
    <xf numFmtId="0" fontId="4" fillId="0" borderId="11" xfId="17" applyFont="1" applyBorder="1" applyAlignment="1">
      <alignment horizontal="right" vertical="center"/>
    </xf>
    <xf numFmtId="0" fontId="30" fillId="0" borderId="11" xfId="17" applyFont="1" applyBorder="1" applyAlignment="1" applyProtection="1">
      <alignment horizontal="left" vertical="center"/>
      <protection locked="0"/>
    </xf>
    <xf numFmtId="0" fontId="21" fillId="0" borderId="11" xfId="18" applyFont="1" applyBorder="1" applyAlignment="1">
      <alignment vertical="center"/>
    </xf>
    <xf numFmtId="0" fontId="101" fillId="0" borderId="11" xfId="18" applyFont="1" applyBorder="1" applyAlignment="1">
      <alignment vertical="center"/>
    </xf>
    <xf numFmtId="0" fontId="102" fillId="0" borderId="11" xfId="17" applyFont="1" applyBorder="1" applyAlignment="1">
      <alignment horizontal="right" vertical="center"/>
    </xf>
    <xf numFmtId="0" fontId="38" fillId="0" borderId="0" xfId="18" applyFont="1"/>
    <xf numFmtId="0" fontId="101" fillId="0" borderId="0" xfId="18" applyFont="1"/>
    <xf numFmtId="0" fontId="116" fillId="0" borderId="36" xfId="0" applyFont="1" applyBorder="1" applyAlignment="1">
      <alignment horizontal="left" readingOrder="1"/>
    </xf>
    <xf numFmtId="37" fontId="5" fillId="0" borderId="37" xfId="19" applyNumberFormat="1" applyFont="1" applyBorder="1" applyProtection="1">
      <protection locked="0"/>
    </xf>
    <xf numFmtId="0" fontId="4" fillId="0" borderId="37" xfId="19" applyFont="1" applyBorder="1" applyAlignment="1"/>
    <xf numFmtId="0" fontId="4" fillId="0" borderId="37" xfId="19" applyFont="1" applyBorder="1" applyAlignment="1">
      <alignment horizontal="centerContinuous"/>
    </xf>
    <xf numFmtId="2" fontId="5" fillId="0" borderId="37" xfId="19" applyNumberFormat="1" applyFont="1" applyBorder="1" applyAlignment="1" applyProtection="1">
      <alignment horizontal="center"/>
      <protection locked="0"/>
    </xf>
    <xf numFmtId="0" fontId="4" fillId="0" borderId="38" xfId="19" applyFont="1" applyBorder="1" applyAlignment="1">
      <alignment horizontal="centerContinuous"/>
    </xf>
    <xf numFmtId="0" fontId="116" fillId="0" borderId="39" xfId="0" applyFont="1" applyBorder="1" applyAlignment="1">
      <alignment horizontal="left" vertical="top" readingOrder="1"/>
    </xf>
    <xf numFmtId="0" fontId="21" fillId="0" borderId="40" xfId="19" applyFont="1" applyBorder="1"/>
    <xf numFmtId="0" fontId="21" fillId="0" borderId="41" xfId="19" applyFont="1" applyBorder="1"/>
    <xf numFmtId="0" fontId="4" fillId="7" borderId="0" xfId="20" applyFont="1" applyFill="1" applyAlignment="1">
      <alignment horizontal="right"/>
    </xf>
    <xf numFmtId="0" fontId="12" fillId="7" borderId="0" xfId="20" applyFont="1" applyFill="1"/>
    <xf numFmtId="0" fontId="4" fillId="7" borderId="0" xfId="20" applyFont="1" applyFill="1"/>
    <xf numFmtId="167" fontId="12" fillId="7" borderId="0" xfId="20" applyNumberFormat="1" applyFont="1" applyFill="1"/>
    <xf numFmtId="0" fontId="12" fillId="7" borderId="0" xfId="20" applyFont="1" applyFill="1" applyAlignment="1">
      <alignment horizontal="right"/>
    </xf>
    <xf numFmtId="3" fontId="4" fillId="7" borderId="0" xfId="20" applyNumberFormat="1" applyFont="1" applyFill="1"/>
    <xf numFmtId="0" fontId="14" fillId="2" borderId="0" xfId="0" applyFont="1" applyFill="1" applyBorder="1" applyAlignment="1" applyProtection="1">
      <alignment horizontal="center" wrapText="1"/>
      <protection locked="0"/>
    </xf>
    <xf numFmtId="0" fontId="81" fillId="2" borderId="0" xfId="9" applyFont="1" applyFill="1" applyBorder="1" applyAlignment="1" applyProtection="1">
      <alignment horizontal="left"/>
      <protection locked="0"/>
    </xf>
    <xf numFmtId="0" fontId="81" fillId="0" borderId="0" xfId="9" applyFont="1" applyAlignment="1" applyProtection="1"/>
    <xf numFmtId="0" fontId="81" fillId="0" borderId="0" xfId="9" applyFont="1" applyAlignment="1" applyProtection="1">
      <alignment horizontal="left"/>
    </xf>
    <xf numFmtId="0" fontId="0" fillId="2" borderId="0" xfId="0" applyFill="1" applyBorder="1" applyAlignment="1" applyProtection="1">
      <protection locked="0"/>
    </xf>
    <xf numFmtId="2" fontId="0" fillId="5" borderId="0" xfId="12" applyNumberFormat="1" applyFont="1" applyFill="1" applyBorder="1" applyProtection="1">
      <protection locked="0"/>
    </xf>
    <xf numFmtId="2" fontId="0" fillId="5" borderId="2" xfId="12" applyNumberFormat="1" applyFont="1" applyFill="1" applyBorder="1" applyProtection="1">
      <protection locked="0"/>
    </xf>
    <xf numFmtId="5" fontId="12" fillId="2" borderId="3" xfId="0" applyNumberFormat="1" applyFont="1" applyFill="1" applyBorder="1" applyAlignment="1" applyProtection="1">
      <alignment horizontal="right"/>
      <protection locked="0"/>
    </xf>
    <xf numFmtId="5" fontId="12" fillId="2" borderId="4" xfId="0" applyNumberFormat="1" applyFont="1" applyFill="1" applyBorder="1" applyAlignment="1" applyProtection="1">
      <alignment horizontal="right"/>
      <protection locked="0"/>
    </xf>
    <xf numFmtId="5" fontId="12" fillId="2" borderId="5" xfId="0" applyNumberFormat="1" applyFont="1" applyFill="1" applyBorder="1" applyAlignment="1" applyProtection="1">
      <alignment horizontal="right"/>
      <protection locked="0"/>
    </xf>
    <xf numFmtId="5" fontId="12" fillId="2" borderId="0" xfId="0" applyNumberFormat="1" applyFont="1" applyFill="1" applyBorder="1" applyAlignment="1" applyProtection="1">
      <alignment horizontal="right"/>
      <protection locked="0"/>
    </xf>
    <xf numFmtId="5" fontId="12" fillId="2" borderId="6" xfId="0" applyNumberFormat="1" applyFont="1" applyFill="1" applyBorder="1" applyAlignment="1" applyProtection="1">
      <alignment horizontal="right"/>
      <protection locked="0"/>
    </xf>
    <xf numFmtId="5" fontId="12" fillId="2" borderId="7" xfId="0" applyNumberFormat="1" applyFont="1" applyFill="1" applyBorder="1" applyAlignment="1" applyProtection="1">
      <alignment horizontal="right"/>
      <protection locked="0"/>
    </xf>
    <xf numFmtId="0" fontId="6" fillId="2" borderId="15" xfId="0" applyFont="1" applyFill="1" applyBorder="1" applyAlignment="1" applyProtection="1">
      <alignment horizontal="center"/>
      <protection locked="0"/>
    </xf>
    <xf numFmtId="2" fontId="0" fillId="5" borderId="15" xfId="12" applyNumberFormat="1" applyFont="1" applyFill="1" applyBorder="1" applyAlignment="1" applyProtection="1">
      <alignment horizontal="center"/>
      <protection locked="0"/>
    </xf>
    <xf numFmtId="0" fontId="5" fillId="10" borderId="0" xfId="0" applyFont="1" applyFill="1" applyBorder="1" applyProtection="1">
      <protection locked="0"/>
    </xf>
    <xf numFmtId="0" fontId="81" fillId="10" borderId="0" xfId="9" applyFont="1" applyFill="1" applyBorder="1" applyAlignment="1" applyProtection="1">
      <alignment horizontal="left"/>
      <protection locked="0"/>
    </xf>
    <xf numFmtId="3" fontId="0" fillId="2" borderId="0" xfId="3" applyNumberFormat="1" applyFont="1" applyFill="1" applyBorder="1" applyProtection="1"/>
    <xf numFmtId="3" fontId="0" fillId="2" borderId="2" xfId="3" applyNumberFormat="1" applyFont="1" applyFill="1" applyBorder="1" applyProtection="1"/>
    <xf numFmtId="0" fontId="30" fillId="2" borderId="11" xfId="0" applyFont="1" applyFill="1" applyBorder="1" applyProtection="1">
      <protection locked="0"/>
    </xf>
    <xf numFmtId="9" fontId="83" fillId="0" borderId="20" xfId="33" applyNumberFormat="1" applyFont="1" applyBorder="1" applyAlignment="1">
      <alignment horizontal="right"/>
    </xf>
    <xf numFmtId="0" fontId="30" fillId="2" borderId="0" xfId="0" applyFont="1" applyFill="1" applyBorder="1" applyProtection="1">
      <protection locked="0"/>
    </xf>
    <xf numFmtId="0" fontId="83" fillId="0" borderId="0" xfId="32" applyFont="1" applyBorder="1"/>
    <xf numFmtId="9" fontId="83" fillId="0" borderId="18" xfId="33" applyNumberFormat="1" applyFont="1" applyBorder="1" applyAlignment="1">
      <alignment horizontal="right"/>
    </xf>
    <xf numFmtId="0" fontId="30" fillId="2" borderId="2" xfId="0" applyFont="1" applyFill="1" applyBorder="1" applyProtection="1">
      <protection locked="0"/>
    </xf>
    <xf numFmtId="0" fontId="83" fillId="0" borderId="2" xfId="32" applyFont="1" applyBorder="1"/>
    <xf numFmtId="0" fontId="46" fillId="7" borderId="0" xfId="20" applyFont="1" applyFill="1"/>
    <xf numFmtId="0" fontId="46" fillId="7" borderId="0" xfId="20" applyFont="1" applyFill="1" applyAlignment="1">
      <alignment horizontal="right"/>
    </xf>
    <xf numFmtId="0" fontId="5" fillId="7" borderId="0" xfId="20" applyFont="1" applyFill="1"/>
    <xf numFmtId="0" fontId="5" fillId="7" borderId="0" xfId="20" applyFont="1" applyFill="1" applyAlignment="1">
      <alignment horizontal="right"/>
    </xf>
    <xf numFmtId="0" fontId="4" fillId="7" borderId="0" xfId="20" applyFont="1" applyFill="1" applyAlignment="1">
      <alignment wrapText="1"/>
    </xf>
    <xf numFmtId="0" fontId="12" fillId="7" borderId="0" xfId="20" applyFont="1" applyFill="1" applyAlignment="1"/>
    <xf numFmtId="0" fontId="4" fillId="7" borderId="0" xfId="20" applyFill="1"/>
    <xf numFmtId="0" fontId="46" fillId="7" borderId="0" xfId="20" applyFont="1" applyFill="1" applyAlignment="1">
      <alignment horizontal="left"/>
    </xf>
    <xf numFmtId="0" fontId="4" fillId="7" borderId="0" xfId="20" applyFont="1" applyFill="1" applyAlignment="1">
      <alignment horizontal="center"/>
    </xf>
    <xf numFmtId="0" fontId="4" fillId="7" borderId="0" xfId="20" applyFill="1" applyAlignment="1"/>
    <xf numFmtId="0" fontId="4" fillId="0" borderId="0" xfId="20"/>
    <xf numFmtId="0" fontId="118" fillId="0" borderId="0" xfId="32" applyFont="1" applyBorder="1"/>
    <xf numFmtId="9" fontId="83" fillId="0" borderId="19" xfId="33" applyNumberFormat="1" applyFont="1" applyBorder="1" applyAlignment="1">
      <alignment horizontal="right"/>
    </xf>
    <xf numFmtId="0" fontId="83" fillId="0" borderId="11" xfId="32" applyFont="1" applyBorder="1"/>
    <xf numFmtId="0" fontId="0" fillId="2" borderId="8" xfId="0" applyFill="1" applyBorder="1" applyProtection="1">
      <protection locked="0"/>
    </xf>
    <xf numFmtId="0" fontId="0" fillId="2" borderId="21" xfId="0" applyFill="1" applyBorder="1" applyProtection="1">
      <protection locked="0"/>
    </xf>
    <xf numFmtId="0" fontId="0" fillId="2" borderId="9" xfId="0" applyFill="1" applyBorder="1" applyProtection="1">
      <protection locked="0"/>
    </xf>
    <xf numFmtId="14" fontId="12" fillId="0" borderId="2" xfId="18" quotePrefix="1" applyNumberFormat="1" applyFont="1" applyBorder="1" applyAlignment="1" applyProtection="1">
      <alignment horizontal="centerContinuous"/>
      <protection locked="0"/>
    </xf>
    <xf numFmtId="0" fontId="12" fillId="7" borderId="0" xfId="20" applyFont="1" applyFill="1" applyAlignment="1">
      <alignment horizontal="left"/>
    </xf>
    <xf numFmtId="0" fontId="3" fillId="0" borderId="0" xfId="75" applyProtection="1">
      <protection locked="0"/>
    </xf>
    <xf numFmtId="0" fontId="3" fillId="0" borderId="0" xfId="75" applyAlignment="1" applyProtection="1">
      <alignment horizontal="right"/>
      <protection locked="0"/>
    </xf>
    <xf numFmtId="0" fontId="3" fillId="0" borderId="0" xfId="75" applyAlignment="1" applyProtection="1">
      <alignment horizontal="center"/>
      <protection locked="0"/>
    </xf>
    <xf numFmtId="0" fontId="0" fillId="0" borderId="0" xfId="0" applyProtection="1">
      <protection locked="0"/>
    </xf>
    <xf numFmtId="14" fontId="3" fillId="0" borderId="0" xfId="75" applyNumberFormat="1" applyProtection="1">
      <protection locked="0"/>
    </xf>
    <xf numFmtId="0" fontId="3" fillId="0" borderId="0" xfId="75" applyFont="1" applyAlignment="1" applyProtection="1">
      <alignment horizontal="right"/>
      <protection locked="0"/>
    </xf>
    <xf numFmtId="0" fontId="136" fillId="0" borderId="0" xfId="75" applyFont="1" applyAlignment="1" applyProtection="1">
      <alignment horizontal="center"/>
    </xf>
    <xf numFmtId="49" fontId="136" fillId="0" borderId="0" xfId="75" applyNumberFormat="1" applyFont="1" applyAlignment="1" applyProtection="1">
      <alignment horizontal="center"/>
    </xf>
    <xf numFmtId="0" fontId="3" fillId="0" borderId="0" xfId="75" applyProtection="1"/>
    <xf numFmtId="49" fontId="3" fillId="0" borderId="0" xfId="75" applyNumberFormat="1" applyAlignment="1" applyProtection="1">
      <alignment horizontal="center"/>
    </xf>
    <xf numFmtId="37" fontId="3" fillId="0" borderId="0" xfId="75" applyNumberFormat="1" applyProtection="1"/>
    <xf numFmtId="49" fontId="3" fillId="42" borderId="0" xfId="75" applyNumberFormat="1" applyFill="1" applyAlignment="1" applyProtection="1">
      <alignment horizontal="center"/>
    </xf>
    <xf numFmtId="0" fontId="3" fillId="0" borderId="0" xfId="75" applyAlignment="1" applyProtection="1">
      <alignment horizontal="left" indent="1"/>
    </xf>
    <xf numFmtId="37" fontId="3" fillId="0" borderId="11" xfId="75" applyNumberFormat="1" applyBorder="1" applyProtection="1"/>
    <xf numFmtId="37" fontId="3" fillId="0" borderId="0" xfId="75" applyNumberFormat="1" applyFill="1" applyBorder="1" applyProtection="1"/>
    <xf numFmtId="37" fontId="3" fillId="0" borderId="51" xfId="75" applyNumberFormat="1" applyBorder="1" applyProtection="1"/>
    <xf numFmtId="0" fontId="2" fillId="10" borderId="0" xfId="75" applyFont="1" applyFill="1" applyProtection="1">
      <protection locked="0"/>
    </xf>
    <xf numFmtId="3" fontId="12" fillId="2" borderId="0" xfId="0" applyNumberFormat="1" applyFont="1" applyFill="1" applyBorder="1" applyProtection="1">
      <protection locked="0"/>
    </xf>
    <xf numFmtId="3" fontId="5" fillId="2" borderId="2" xfId="0" applyNumberFormat="1" applyFont="1" applyFill="1" applyBorder="1" applyAlignment="1" applyProtection="1">
      <alignment horizontal="center"/>
      <protection locked="0"/>
    </xf>
    <xf numFmtId="3" fontId="81" fillId="2" borderId="0" xfId="9" applyNumberFormat="1" applyFont="1" applyFill="1" applyBorder="1" applyAlignment="1" applyProtection="1">
      <alignment horizontal="left"/>
      <protection locked="0"/>
    </xf>
    <xf numFmtId="0" fontId="0" fillId="0" borderId="0" xfId="0" applyProtection="1"/>
    <xf numFmtId="14" fontId="0" fillId="0" borderId="0" xfId="0" applyNumberFormat="1" applyAlignment="1" applyProtection="1">
      <alignment horizontal="left"/>
    </xf>
    <xf numFmtId="0" fontId="4" fillId="7" borderId="0" xfId="20" applyFont="1" applyFill="1" applyAlignment="1">
      <alignment horizontal="left"/>
    </xf>
    <xf numFmtId="0" fontId="4" fillId="7" borderId="0" xfId="0" applyFont="1" applyFill="1" applyAlignment="1">
      <alignment horizontal="left"/>
    </xf>
    <xf numFmtId="0" fontId="0" fillId="7" borderId="0" xfId="0" applyFill="1"/>
    <xf numFmtId="3" fontId="4" fillId="7" borderId="0" xfId="84" applyNumberFormat="1" applyFont="1" applyFill="1"/>
    <xf numFmtId="0" fontId="4" fillId="45" borderId="0" xfId="20" applyFont="1" applyFill="1"/>
    <xf numFmtId="3" fontId="4" fillId="45" borderId="0" xfId="84" applyNumberFormat="1" applyFont="1" applyFill="1"/>
    <xf numFmtId="0" fontId="12" fillId="7" borderId="0" xfId="0" applyFont="1" applyFill="1" applyAlignment="1">
      <alignment horizontal="left"/>
    </xf>
    <xf numFmtId="0" fontId="12" fillId="7" borderId="0" xfId="0" applyFont="1" applyFill="1"/>
    <xf numFmtId="167" fontId="12" fillId="7" borderId="0" xfId="0" applyNumberFormat="1" applyFont="1" applyFill="1"/>
    <xf numFmtId="0" fontId="4" fillId="7" borderId="0" xfId="0" applyFont="1" applyFill="1"/>
    <xf numFmtId="0" fontId="4" fillId="7" borderId="0" xfId="0" applyFont="1" applyFill="1" applyAlignment="1">
      <alignment horizontal="right"/>
    </xf>
    <xf numFmtId="0" fontId="12" fillId="8" borderId="0" xfId="0" applyFont="1" applyFill="1" applyAlignment="1">
      <alignment horizontal="left"/>
    </xf>
    <xf numFmtId="0" fontId="12" fillId="8" borderId="0" xfId="0" applyFont="1" applyFill="1"/>
    <xf numFmtId="0" fontId="4" fillId="8" borderId="0" xfId="0" applyFont="1" applyFill="1" applyAlignment="1">
      <alignment horizontal="left"/>
    </xf>
    <xf numFmtId="0" fontId="4" fillId="8" borderId="0" xfId="0" applyFont="1" applyFill="1"/>
    <xf numFmtId="0" fontId="4" fillId="7" borderId="0" xfId="0" applyFont="1" applyFill="1" applyAlignment="1">
      <alignment horizontal="center" vertical="center" textRotation="15"/>
    </xf>
    <xf numFmtId="0" fontId="4" fillId="7" borderId="0" xfId="0" applyFont="1" applyFill="1" applyAlignment="1">
      <alignment horizontal="center" vertical="center"/>
    </xf>
    <xf numFmtId="0" fontId="4" fillId="8" borderId="0" xfId="0" applyFont="1" applyFill="1" applyAlignment="1">
      <alignment horizontal="center" vertical="center"/>
    </xf>
    <xf numFmtId="0" fontId="4" fillId="8" borderId="0" xfId="0" applyFont="1" applyFill="1" applyAlignment="1">
      <alignment horizontal="right"/>
    </xf>
    <xf numFmtId="0" fontId="12" fillId="7" borderId="0" xfId="0" applyFont="1" applyFill="1" applyProtection="1"/>
    <xf numFmtId="167" fontId="12" fillId="7" borderId="0" xfId="0" applyNumberFormat="1" applyFont="1" applyFill="1" applyProtection="1"/>
    <xf numFmtId="0" fontId="4" fillId="2" borderId="15" xfId="0" applyFont="1" applyFill="1" applyBorder="1" applyAlignment="1" applyProtection="1">
      <alignment horizontal="center" vertical="center"/>
      <protection locked="0"/>
    </xf>
    <xf numFmtId="0" fontId="4" fillId="0" borderId="15" xfId="0" applyFont="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0" xfId="0" applyFont="1" applyFill="1" applyAlignment="1" applyProtection="1">
      <alignment horizontal="right"/>
      <protection locked="0"/>
    </xf>
    <xf numFmtId="0" fontId="4" fillId="7" borderId="0" xfId="0" applyFont="1" applyFill="1" applyProtection="1"/>
    <xf numFmtId="0" fontId="4" fillId="7" borderId="0" xfId="0" applyFont="1" applyFill="1" applyAlignment="1">
      <alignment textRotation="90" wrapText="1"/>
    </xf>
    <xf numFmtId="0" fontId="4" fillId="2" borderId="22"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7" borderId="0" xfId="0" applyFont="1" applyFill="1" applyAlignment="1" applyProtection="1">
      <alignment horizontal="right"/>
    </xf>
    <xf numFmtId="0" fontId="4" fillId="8" borderId="0" xfId="0" applyFont="1" applyFill="1" applyAlignment="1" applyProtection="1">
      <alignment horizontal="left"/>
    </xf>
    <xf numFmtId="0" fontId="4" fillId="8" borderId="0" xfId="0" applyFont="1" applyFill="1" applyProtection="1"/>
    <xf numFmtId="0" fontId="4" fillId="8" borderId="0" xfId="0" applyFont="1" applyFill="1" applyAlignment="1" applyProtection="1">
      <alignment horizontal="center" vertical="center"/>
    </xf>
    <xf numFmtId="0" fontId="4" fillId="8" borderId="0" xfId="0" applyFont="1" applyFill="1" applyAlignment="1" applyProtection="1">
      <alignment horizontal="right"/>
    </xf>
    <xf numFmtId="0" fontId="4" fillId="7" borderId="0" xfId="0" applyFont="1" applyFill="1" applyAlignment="1" applyProtection="1">
      <alignment horizontal="center" vertical="center" textRotation="15"/>
    </xf>
    <xf numFmtId="0" fontId="4" fillId="7" borderId="0" xfId="0" applyFont="1" applyFill="1" applyAlignment="1" applyProtection="1">
      <alignment horizontal="center" vertical="center"/>
    </xf>
    <xf numFmtId="0" fontId="12" fillId="8" borderId="0" xfId="0" applyFont="1" applyFill="1" applyBorder="1" applyAlignment="1" applyProtection="1">
      <alignment horizontal="left"/>
    </xf>
    <xf numFmtId="0" fontId="12" fillId="8" borderId="0" xfId="0" applyFont="1" applyFill="1" applyAlignment="1" applyProtection="1">
      <alignment horizontal="left"/>
    </xf>
    <xf numFmtId="0" fontId="12" fillId="8" borderId="0" xfId="0" applyFont="1" applyFill="1" applyProtection="1"/>
    <xf numFmtId="0" fontId="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wrapText="1"/>
    </xf>
    <xf numFmtId="0" fontId="0" fillId="7" borderId="0" xfId="0" applyFill="1" applyAlignment="1">
      <alignment horizontal="left"/>
    </xf>
    <xf numFmtId="0" fontId="12" fillId="2" borderId="0" xfId="0" applyNumberFormat="1" applyFont="1" applyFill="1" applyAlignment="1" applyProtection="1">
      <alignment horizontal="left"/>
      <protection locked="0"/>
    </xf>
    <xf numFmtId="0" fontId="12" fillId="7" borderId="0" xfId="0" applyFont="1" applyFill="1" applyAlignment="1">
      <alignment vertical="top"/>
    </xf>
    <xf numFmtId="0" fontId="12" fillId="7" borderId="0" xfId="0" applyFont="1" applyFill="1" applyAlignment="1">
      <alignment horizontal="right"/>
    </xf>
    <xf numFmtId="0" fontId="12" fillId="45" borderId="0" xfId="20" applyFont="1" applyFill="1"/>
    <xf numFmtId="0" fontId="0" fillId="45" borderId="0" xfId="0" applyFill="1"/>
    <xf numFmtId="0" fontId="6" fillId="2" borderId="0" xfId="0" applyFont="1" applyFill="1" applyBorder="1" applyAlignment="1" applyProtection="1">
      <alignment horizontal="center"/>
    </xf>
    <xf numFmtId="0" fontId="5" fillId="2" borderId="11" xfId="0" applyFont="1" applyFill="1" applyBorder="1" applyAlignment="1" applyProtection="1">
      <alignment horizontal="center"/>
    </xf>
    <xf numFmtId="0" fontId="0" fillId="2" borderId="11" xfId="0" applyFill="1" applyBorder="1" applyProtection="1"/>
    <xf numFmtId="0" fontId="6" fillId="2" borderId="2" xfId="0" applyFont="1" applyFill="1" applyBorder="1" applyAlignment="1" applyProtection="1">
      <alignment horizontal="center"/>
    </xf>
    <xf numFmtId="3" fontId="0" fillId="2" borderId="11" xfId="0" applyNumberFormat="1" applyFill="1" applyBorder="1" applyProtection="1"/>
    <xf numFmtId="3" fontId="21" fillId="43" borderId="0" xfId="33" applyNumberFormat="1" applyFont="1" applyFill="1"/>
    <xf numFmtId="3" fontId="21" fillId="10" borderId="0" xfId="33" applyNumberFormat="1" applyFont="1" applyFill="1"/>
    <xf numFmtId="3" fontId="21" fillId="44" borderId="0" xfId="33" applyNumberFormat="1" applyFont="1" applyFill="1"/>
    <xf numFmtId="3" fontId="139" fillId="43" borderId="0" xfId="33" applyNumberFormat="1" applyFont="1" applyFill="1"/>
    <xf numFmtId="0" fontId="140" fillId="7" borderId="0" xfId="20" applyFont="1" applyFill="1"/>
    <xf numFmtId="0" fontId="116" fillId="2" borderId="0" xfId="0" applyFont="1" applyFill="1" applyBorder="1" applyProtection="1">
      <protection locked="0"/>
    </xf>
    <xf numFmtId="3" fontId="142" fillId="2" borderId="0" xfId="0" applyNumberFormat="1" applyFont="1" applyFill="1" applyBorder="1" applyProtection="1">
      <protection locked="0"/>
    </xf>
    <xf numFmtId="0" fontId="4" fillId="2" borderId="15" xfId="0" applyFont="1" applyFill="1" applyBorder="1" applyAlignment="1" applyProtection="1">
      <alignment horizontal="center" vertical="center"/>
      <protection locked="0"/>
    </xf>
    <xf numFmtId="0" fontId="12" fillId="7" borderId="0" xfId="0" applyFont="1" applyFill="1" applyAlignment="1">
      <alignment horizontal="left"/>
    </xf>
    <xf numFmtId="0" fontId="5" fillId="2" borderId="0" xfId="0" applyFont="1" applyFill="1" applyBorder="1" applyAlignment="1" applyProtection="1">
      <alignment horizontal="right"/>
      <protection locked="0"/>
    </xf>
    <xf numFmtId="0" fontId="4" fillId="2" borderId="0" xfId="0" applyFont="1" applyFill="1" applyBorder="1" applyAlignment="1" applyProtection="1">
      <alignment horizontal="right"/>
      <protection locked="0"/>
    </xf>
    <xf numFmtId="0" fontId="5" fillId="46" borderId="0" xfId="0" applyFont="1" applyFill="1" applyBorder="1" applyProtection="1">
      <protection locked="0"/>
    </xf>
    <xf numFmtId="9" fontId="4" fillId="2" borderId="0" xfId="0" applyNumberFormat="1" applyFont="1" applyFill="1" applyBorder="1" applyAlignment="1" applyProtection="1">
      <alignment horizontal="left"/>
      <protection locked="0"/>
    </xf>
    <xf numFmtId="9" fontId="0" fillId="2" borderId="0" xfId="0" applyNumberFormat="1" applyFill="1" applyBorder="1" applyAlignment="1" applyProtection="1">
      <alignment horizontal="left"/>
      <protection locked="0"/>
    </xf>
    <xf numFmtId="0" fontId="5" fillId="43" borderId="0"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10" fontId="5" fillId="2" borderId="0" xfId="0" applyNumberFormat="1" applyFont="1" applyFill="1" applyBorder="1" applyProtection="1">
      <protection locked="0"/>
    </xf>
    <xf numFmtId="10" fontId="0" fillId="0" borderId="2" xfId="12" applyNumberFormat="1" applyFont="1" applyBorder="1" applyAlignment="1" applyProtection="1">
      <alignment horizontal="right"/>
    </xf>
    <xf numFmtId="10" fontId="0" fillId="0" borderId="0" xfId="12" applyNumberFormat="1" applyFont="1" applyBorder="1" applyAlignment="1" applyProtection="1">
      <alignment horizontal="right"/>
    </xf>
    <xf numFmtId="0" fontId="5" fillId="2" borderId="0" xfId="0" applyFont="1" applyFill="1" applyBorder="1" applyAlignment="1" applyProtection="1">
      <alignment horizontal="right"/>
      <protection locked="0"/>
    </xf>
    <xf numFmtId="0" fontId="4" fillId="2" borderId="0" xfId="0" applyFont="1" applyFill="1" applyBorder="1" applyProtection="1">
      <protection locked="0"/>
    </xf>
    <xf numFmtId="0" fontId="143" fillId="0" borderId="0" xfId="9" applyFont="1" applyBorder="1" applyAlignment="1" applyProtection="1"/>
    <xf numFmtId="0" fontId="4" fillId="0" borderId="0" xfId="0" applyFont="1" applyBorder="1" applyAlignment="1"/>
    <xf numFmtId="0" fontId="12" fillId="7" borderId="0" xfId="20" applyFont="1" applyFill="1" applyAlignment="1">
      <alignment horizontal="center"/>
    </xf>
    <xf numFmtId="0" fontId="5" fillId="0" borderId="0" xfId="20" applyFont="1"/>
    <xf numFmtId="0" fontId="4" fillId="0" borderId="0" xfId="20" applyFont="1"/>
    <xf numFmtId="0" fontId="4" fillId="0" borderId="3" xfId="20" applyFont="1" applyBorder="1"/>
    <xf numFmtId="0" fontId="4" fillId="0" borderId="4" xfId="20" applyBorder="1"/>
    <xf numFmtId="0" fontId="5" fillId="0" borderId="25" xfId="20" applyFont="1" applyBorder="1" applyAlignment="1">
      <alignment horizontal="center"/>
    </xf>
    <xf numFmtId="0" fontId="5" fillId="0" borderId="0" xfId="20" applyFont="1" applyAlignment="1">
      <alignment horizontal="left"/>
    </xf>
    <xf numFmtId="0" fontId="4" fillId="0" borderId="6" xfId="20" applyFont="1" applyFill="1" applyBorder="1"/>
    <xf numFmtId="0" fontId="4" fillId="0" borderId="7" xfId="20" applyFill="1" applyBorder="1"/>
    <xf numFmtId="43" fontId="5" fillId="45" borderId="52" xfId="20" applyNumberFormat="1" applyFont="1" applyFill="1" applyBorder="1" applyAlignment="1">
      <alignment horizontal="center"/>
    </xf>
    <xf numFmtId="0" fontId="5" fillId="0" borderId="0" xfId="20" applyFont="1" applyAlignment="1">
      <alignment vertical="center"/>
    </xf>
    <xf numFmtId="0" fontId="5" fillId="10" borderId="0" xfId="20" applyFont="1" applyFill="1" applyAlignment="1">
      <alignment horizontal="center"/>
    </xf>
    <xf numFmtId="0" fontId="4" fillId="0" borderId="0" xfId="20" applyFont="1" applyAlignment="1">
      <alignment horizontal="center"/>
    </xf>
    <xf numFmtId="0" fontId="5" fillId="10" borderId="0" xfId="20" applyFont="1" applyFill="1" applyAlignment="1">
      <alignment horizontal="left"/>
    </xf>
    <xf numFmtId="0" fontId="4" fillId="0" borderId="0" xfId="20" applyAlignment="1">
      <alignment horizontal="center"/>
    </xf>
    <xf numFmtId="0" fontId="5" fillId="42" borderId="0" xfId="20" applyFont="1" applyFill="1" applyAlignment="1" applyProtection="1">
      <alignment horizontal="left" wrapText="1"/>
      <protection hidden="1"/>
    </xf>
    <xf numFmtId="0" fontId="4" fillId="0" borderId="0" xfId="20" applyFill="1"/>
    <xf numFmtId="0" fontId="4" fillId="47" borderId="2" xfId="20" applyFont="1" applyFill="1" applyBorder="1" applyAlignment="1" applyProtection="1">
      <alignment horizontal="center"/>
      <protection hidden="1"/>
    </xf>
    <xf numFmtId="0" fontId="5" fillId="10" borderId="25" xfId="20" applyFont="1" applyFill="1" applyBorder="1" applyAlignment="1">
      <alignment horizontal="center"/>
    </xf>
    <xf numFmtId="0" fontId="5" fillId="47" borderId="53" xfId="20" applyFont="1" applyFill="1" applyBorder="1" applyProtection="1">
      <protection hidden="1"/>
    </xf>
    <xf numFmtId="0" fontId="5" fillId="47" borderId="2" xfId="20" applyFont="1" applyFill="1" applyBorder="1" applyProtection="1">
      <protection hidden="1"/>
    </xf>
    <xf numFmtId="0" fontId="5" fillId="47" borderId="2" xfId="20" applyFont="1" applyFill="1" applyBorder="1" applyAlignment="1" applyProtection="1">
      <alignment horizontal="center"/>
      <protection hidden="1"/>
    </xf>
    <xf numFmtId="0" fontId="5" fillId="42" borderId="2" xfId="20" applyFont="1" applyFill="1" applyBorder="1" applyAlignment="1" applyProtection="1">
      <alignment horizontal="center"/>
      <protection hidden="1"/>
    </xf>
    <xf numFmtId="0" fontId="4" fillId="42" borderId="2" xfId="20" applyFill="1" applyBorder="1" applyAlignment="1" applyProtection="1">
      <alignment horizontal="center"/>
      <protection hidden="1"/>
    </xf>
    <xf numFmtId="0" fontId="5" fillId="10" borderId="54" xfId="20" applyFont="1" applyFill="1" applyBorder="1"/>
    <xf numFmtId="14" fontId="4" fillId="0" borderId="54" xfId="20" applyNumberFormat="1" applyBorder="1" applyProtection="1">
      <protection locked="0"/>
    </xf>
    <xf numFmtId="0" fontId="4" fillId="42" borderId="0" xfId="20" quotePrefix="1" applyFont="1" applyFill="1" applyBorder="1" applyAlignment="1">
      <alignment horizontal="center"/>
    </xf>
    <xf numFmtId="43" fontId="0" fillId="0" borderId="15" xfId="81" applyFont="1" applyBorder="1" applyAlignment="1" applyProtection="1">
      <alignment horizontal="center"/>
      <protection locked="0"/>
    </xf>
    <xf numFmtId="43" fontId="0" fillId="47" borderId="0" xfId="81" applyFont="1" applyFill="1" applyBorder="1" applyAlignment="1" applyProtection="1">
      <alignment horizontal="center"/>
      <protection hidden="1"/>
    </xf>
    <xf numFmtId="0" fontId="4" fillId="47" borderId="0" xfId="20" applyFill="1" applyBorder="1" applyAlignment="1" applyProtection="1">
      <alignment horizontal="center"/>
      <protection hidden="1"/>
    </xf>
    <xf numFmtId="9" fontId="4" fillId="47" borderId="0" xfId="12" quotePrefix="1" applyFont="1" applyFill="1" applyBorder="1" applyProtection="1">
      <protection hidden="1"/>
    </xf>
    <xf numFmtId="43" fontId="4" fillId="47" borderId="0" xfId="20" applyNumberFormat="1" applyFill="1" applyBorder="1" applyProtection="1">
      <protection hidden="1"/>
    </xf>
    <xf numFmtId="43" fontId="0" fillId="47" borderId="0" xfId="81" applyFont="1" applyFill="1" applyBorder="1" applyProtection="1">
      <protection hidden="1"/>
    </xf>
    <xf numFmtId="14" fontId="4" fillId="42" borderId="0" xfId="20" applyNumberFormat="1" applyFill="1" applyBorder="1" applyAlignment="1" applyProtection="1">
      <alignment horizontal="center"/>
      <protection hidden="1"/>
    </xf>
    <xf numFmtId="14" fontId="4" fillId="42" borderId="0" xfId="20" applyNumberFormat="1" applyFill="1" applyAlignment="1" applyProtection="1">
      <alignment horizontal="center"/>
      <protection hidden="1"/>
    </xf>
    <xf numFmtId="9" fontId="0" fillId="42" borderId="0" xfId="12" applyFont="1" applyFill="1" applyAlignment="1" applyProtection="1">
      <alignment horizontal="center"/>
      <protection hidden="1"/>
    </xf>
    <xf numFmtId="0" fontId="5" fillId="10" borderId="52" xfId="20" applyFont="1" applyFill="1" applyBorder="1"/>
    <xf numFmtId="0" fontId="4" fillId="0" borderId="0" xfId="20" quotePrefix="1" applyFill="1"/>
    <xf numFmtId="0" fontId="4" fillId="47" borderId="0" xfId="20" applyFill="1" applyBorder="1" applyAlignment="1">
      <alignment horizontal="center"/>
    </xf>
    <xf numFmtId="0" fontId="4" fillId="47" borderId="0" xfId="20" applyFill="1" applyBorder="1" applyProtection="1">
      <protection hidden="1"/>
    </xf>
    <xf numFmtId="0" fontId="4" fillId="0" borderId="0" xfId="20" quotePrefix="1" applyFont="1" applyFill="1"/>
    <xf numFmtId="0" fontId="4" fillId="0" borderId="0" xfId="20" applyAlignment="1" applyProtection="1">
      <alignment horizontal="center"/>
      <protection hidden="1"/>
    </xf>
    <xf numFmtId="0" fontId="4" fillId="0" borderId="2" xfId="20" applyBorder="1"/>
    <xf numFmtId="0" fontId="4" fillId="0" borderId="2" xfId="20" applyBorder="1" applyAlignment="1" applyProtection="1">
      <alignment horizontal="center"/>
      <protection hidden="1"/>
    </xf>
    <xf numFmtId="0" fontId="4" fillId="47" borderId="2" xfId="20" applyFill="1" applyBorder="1" applyAlignment="1">
      <alignment horizontal="center"/>
    </xf>
    <xf numFmtId="0" fontId="4" fillId="47" borderId="2" xfId="20" applyFill="1" applyBorder="1" applyProtection="1">
      <protection hidden="1"/>
    </xf>
    <xf numFmtId="0" fontId="4" fillId="47" borderId="2" xfId="20" applyFill="1" applyBorder="1" applyAlignment="1" applyProtection="1">
      <alignment horizontal="center"/>
      <protection hidden="1"/>
    </xf>
    <xf numFmtId="9" fontId="4" fillId="47" borderId="2" xfId="12" quotePrefix="1" applyFont="1" applyFill="1" applyBorder="1" applyProtection="1">
      <protection hidden="1"/>
    </xf>
    <xf numFmtId="43" fontId="4" fillId="47" borderId="2" xfId="20" applyNumberFormat="1" applyFill="1" applyBorder="1" applyProtection="1">
      <protection hidden="1"/>
    </xf>
    <xf numFmtId="43" fontId="0" fillId="47" borderId="2" xfId="81" applyFont="1" applyFill="1" applyBorder="1" applyProtection="1">
      <protection hidden="1"/>
    </xf>
    <xf numFmtId="0" fontId="5" fillId="42" borderId="0" xfId="20" applyFont="1" applyFill="1" applyAlignment="1">
      <alignment horizontal="right"/>
    </xf>
    <xf numFmtId="0" fontId="4" fillId="42" borderId="0" xfId="20" applyFill="1"/>
    <xf numFmtId="43" fontId="5" fillId="42" borderId="0" xfId="20" applyNumberFormat="1" applyFont="1" applyFill="1" applyAlignment="1">
      <alignment horizontal="center"/>
    </xf>
    <xf numFmtId="0" fontId="4" fillId="42" borderId="0" xfId="20" applyFill="1" applyProtection="1">
      <protection hidden="1"/>
    </xf>
    <xf numFmtId="0" fontId="4" fillId="42" borderId="0" xfId="20" applyFill="1" applyBorder="1" applyAlignment="1" applyProtection="1">
      <alignment horizontal="center"/>
      <protection hidden="1"/>
    </xf>
    <xf numFmtId="0" fontId="4" fillId="42" borderId="0" xfId="20" applyFill="1" applyAlignment="1" applyProtection="1">
      <alignment horizontal="center"/>
      <protection hidden="1"/>
    </xf>
    <xf numFmtId="164" fontId="144" fillId="42" borderId="0" xfId="12" applyNumberFormat="1" applyFont="1" applyFill="1" applyBorder="1" applyProtection="1">
      <protection hidden="1"/>
    </xf>
    <xf numFmtId="43" fontId="5" fillId="42" borderId="0" xfId="20" applyNumberFormat="1" applyFont="1" applyFill="1" applyProtection="1">
      <protection hidden="1"/>
    </xf>
    <xf numFmtId="43" fontId="5" fillId="42" borderId="0" xfId="81" applyFont="1" applyFill="1" applyProtection="1">
      <protection hidden="1"/>
    </xf>
    <xf numFmtId="0" fontId="4" fillId="0" borderId="0" xfId="20" applyProtection="1">
      <protection hidden="1"/>
    </xf>
    <xf numFmtId="0" fontId="4" fillId="0" borderId="0" xfId="20" applyFill="1" applyAlignment="1" applyProtection="1">
      <alignment horizontal="center"/>
      <protection hidden="1"/>
    </xf>
    <xf numFmtId="0" fontId="4" fillId="47" borderId="30" xfId="20" applyFont="1" applyFill="1" applyBorder="1" applyAlignment="1" applyProtection="1">
      <alignment horizontal="center"/>
      <protection hidden="1"/>
    </xf>
    <xf numFmtId="43" fontId="4" fillId="0" borderId="0" xfId="20" applyNumberFormat="1"/>
    <xf numFmtId="0" fontId="4" fillId="0" borderId="0" xfId="20" quotePrefix="1" applyFont="1"/>
    <xf numFmtId="0" fontId="4" fillId="47" borderId="11" xfId="20" applyFill="1" applyBorder="1" applyAlignment="1" applyProtection="1">
      <alignment horizontal="center"/>
      <protection hidden="1"/>
    </xf>
    <xf numFmtId="174" fontId="4" fillId="0" borderId="0" xfId="20" applyNumberFormat="1"/>
    <xf numFmtId="0" fontId="46" fillId="2" borderId="0" xfId="0" applyFont="1" applyFill="1" applyBorder="1" applyProtection="1">
      <protection locked="0"/>
    </xf>
    <xf numFmtId="14" fontId="116" fillId="2" borderId="15" xfId="0" applyNumberFormat="1" applyFont="1" applyFill="1" applyBorder="1" applyProtection="1">
      <protection locked="0"/>
    </xf>
    <xf numFmtId="0" fontId="4" fillId="0" borderId="0" xfId="20" quotePrefix="1" applyFont="1" applyFill="1" applyBorder="1" applyAlignment="1">
      <alignment horizontal="center"/>
    </xf>
    <xf numFmtId="43" fontId="0" fillId="0" borderId="0" xfId="81" applyFont="1" applyFill="1" applyBorder="1" applyAlignment="1" applyProtection="1">
      <alignment horizontal="center"/>
      <protection hidden="1"/>
    </xf>
    <xf numFmtId="0" fontId="4" fillId="0" borderId="0" xfId="20" applyFill="1" applyBorder="1" applyAlignment="1" applyProtection="1">
      <alignment horizontal="center"/>
      <protection hidden="1"/>
    </xf>
    <xf numFmtId="9" fontId="4" fillId="0" borderId="0" xfId="12" quotePrefix="1" applyFont="1" applyFill="1" applyBorder="1" applyProtection="1">
      <protection hidden="1"/>
    </xf>
    <xf numFmtId="43" fontId="4" fillId="0" borderId="0" xfId="20" applyNumberFormat="1" applyFill="1" applyBorder="1" applyProtection="1">
      <protection hidden="1"/>
    </xf>
    <xf numFmtId="43" fontId="0" fillId="0" borderId="0" xfId="81" applyFont="1" applyFill="1" applyBorder="1" applyProtection="1">
      <protection hidden="1"/>
    </xf>
    <xf numFmtId="0" fontId="4" fillId="0" borderId="0" xfId="20" applyFill="1" applyBorder="1" applyAlignment="1">
      <alignment horizontal="center"/>
    </xf>
    <xf numFmtId="0" fontId="4" fillId="0" borderId="0" xfId="20" applyFill="1" applyBorder="1" applyProtection="1">
      <protection hidden="1"/>
    </xf>
    <xf numFmtId="164" fontId="144" fillId="0" borderId="0" xfId="12" applyNumberFormat="1" applyFont="1" applyFill="1" applyBorder="1" applyProtection="1">
      <protection hidden="1"/>
    </xf>
    <xf numFmtId="0" fontId="4" fillId="0" borderId="0" xfId="20" applyFill="1" applyBorder="1"/>
    <xf numFmtId="0" fontId="5" fillId="0" borderId="0" xfId="20" applyFont="1" applyFill="1" applyBorder="1" applyAlignment="1">
      <alignment vertical="center"/>
    </xf>
    <xf numFmtId="0" fontId="5" fillId="0" borderId="0" xfId="20" applyFont="1" applyFill="1" applyBorder="1" applyAlignment="1">
      <alignment horizontal="center"/>
    </xf>
    <xf numFmtId="0" fontId="4" fillId="0" borderId="0" xfId="20" applyFont="1" applyFill="1" applyBorder="1" applyAlignment="1">
      <alignment horizontal="center"/>
    </xf>
    <xf numFmtId="0" fontId="5" fillId="0" borderId="0" xfId="20" applyFont="1" applyFill="1" applyBorder="1" applyAlignment="1">
      <alignment horizontal="left"/>
    </xf>
    <xf numFmtId="0" fontId="4" fillId="0" borderId="0" xfId="20" applyFont="1" applyFill="1" applyBorder="1"/>
    <xf numFmtId="0" fontId="4" fillId="0" borderId="0" xfId="20" applyFont="1" applyFill="1" applyBorder="1" applyAlignment="1" applyProtection="1">
      <alignment horizontal="center"/>
      <protection hidden="1"/>
    </xf>
    <xf numFmtId="0" fontId="5" fillId="0" borderId="0" xfId="20" applyFont="1" applyFill="1" applyBorder="1" applyProtection="1">
      <protection hidden="1"/>
    </xf>
    <xf numFmtId="0" fontId="5" fillId="0" borderId="0" xfId="20" applyFont="1" applyFill="1" applyBorder="1" applyAlignment="1" applyProtection="1">
      <alignment horizontal="center"/>
      <protection hidden="1"/>
    </xf>
    <xf numFmtId="0" fontId="5" fillId="0" borderId="0" xfId="20" applyFont="1" applyFill="1" applyBorder="1"/>
    <xf numFmtId="14" fontId="4" fillId="0" borderId="0" xfId="20" applyNumberFormat="1" applyFill="1" applyBorder="1" applyProtection="1">
      <protection locked="0"/>
    </xf>
    <xf numFmtId="43" fontId="0" fillId="0" borderId="0" xfId="81" applyFont="1" applyFill="1" applyBorder="1" applyAlignment="1" applyProtection="1">
      <alignment horizontal="center"/>
      <protection locked="0"/>
    </xf>
    <xf numFmtId="0" fontId="5" fillId="0" borderId="0" xfId="20" applyFont="1" applyFill="1" applyBorder="1" applyAlignment="1">
      <alignment horizontal="right"/>
    </xf>
    <xf numFmtId="43" fontId="5" fillId="0" borderId="0" xfId="20" applyNumberFormat="1" applyFont="1" applyFill="1" applyBorder="1" applyAlignment="1">
      <alignment horizontal="center"/>
    </xf>
    <xf numFmtId="43" fontId="5" fillId="0" borderId="0" xfId="20" applyNumberFormat="1" applyFont="1" applyFill="1" applyBorder="1" applyProtection="1">
      <protection hidden="1"/>
    </xf>
    <xf numFmtId="43" fontId="5" fillId="0" borderId="0" xfId="81" applyFont="1" applyFill="1" applyBorder="1" applyProtection="1">
      <protection hidden="1"/>
    </xf>
    <xf numFmtId="166" fontId="22" fillId="0" borderId="20" xfId="14" applyFont="1" applyBorder="1" applyAlignment="1" applyProtection="1">
      <alignment horizontal="center" vertical="center"/>
      <protection locked="0"/>
    </xf>
    <xf numFmtId="166" fontId="22" fillId="0" borderId="0" xfId="14" applyFont="1" applyBorder="1" applyAlignment="1" applyProtection="1">
      <alignment horizontal="center" vertical="center"/>
      <protection locked="0"/>
    </xf>
    <xf numFmtId="166" fontId="12" fillId="0" borderId="2" xfId="14" applyFont="1" applyBorder="1" applyAlignment="1" applyProtection="1">
      <alignment horizontal="left" vertical="center"/>
      <protection locked="0"/>
    </xf>
    <xf numFmtId="166" fontId="12" fillId="0" borderId="9" xfId="14" applyFont="1" applyBorder="1" applyAlignment="1" applyProtection="1">
      <alignment horizontal="left" vertical="center"/>
      <protection locked="0"/>
    </xf>
    <xf numFmtId="166" fontId="30" fillId="0" borderId="0" xfId="14" applyFont="1" applyBorder="1" applyAlignment="1" applyProtection="1">
      <alignment horizontal="center" vertical="center"/>
      <protection locked="0"/>
    </xf>
    <xf numFmtId="166" fontId="30" fillId="0" borderId="21" xfId="14" applyFont="1" applyBorder="1" applyAlignment="1" applyProtection="1">
      <alignment horizontal="center" vertical="center"/>
      <protection locked="0"/>
    </xf>
    <xf numFmtId="166" fontId="21" fillId="0" borderId="10" xfId="14" applyFont="1" applyBorder="1" applyAlignment="1">
      <alignment horizontal="center" vertical="center"/>
    </xf>
    <xf numFmtId="166" fontId="52" fillId="0" borderId="20" xfId="14" applyFont="1" applyBorder="1" applyAlignment="1" applyProtection="1">
      <alignment horizontal="center" vertical="center"/>
    </xf>
    <xf numFmtId="166" fontId="52" fillId="0" borderId="0" xfId="14" applyFont="1" applyBorder="1" applyAlignment="1" applyProtection="1">
      <alignment horizontal="center" vertical="center"/>
    </xf>
    <xf numFmtId="166" fontId="52" fillId="0" borderId="21" xfId="14" applyFont="1" applyBorder="1" applyAlignment="1" applyProtection="1">
      <alignment horizontal="center" vertical="center"/>
    </xf>
    <xf numFmtId="166" fontId="52" fillId="0" borderId="18" xfId="14" applyFont="1" applyBorder="1" applyAlignment="1" applyProtection="1">
      <alignment horizontal="center" vertical="center"/>
    </xf>
    <xf numFmtId="166" fontId="52" fillId="0" borderId="2" xfId="14" applyFont="1" applyBorder="1" applyAlignment="1" applyProtection="1">
      <alignment horizontal="center" vertical="center"/>
    </xf>
    <xf numFmtId="166" fontId="52" fillId="0" borderId="9" xfId="14" applyFont="1" applyBorder="1" applyAlignment="1" applyProtection="1">
      <alignment horizontal="center" vertical="center"/>
    </xf>
    <xf numFmtId="166" fontId="22" fillId="0" borderId="11" xfId="14" applyFont="1" applyFill="1" applyBorder="1" applyAlignment="1">
      <alignment horizontal="center" vertical="center"/>
    </xf>
    <xf numFmtId="166" fontId="22" fillId="0" borderId="2" xfId="14" applyFont="1" applyFill="1" applyBorder="1" applyAlignment="1">
      <alignment horizontal="center" vertical="center"/>
    </xf>
    <xf numFmtId="3" fontId="12" fillId="0" borderId="18" xfId="14" applyNumberFormat="1" applyFont="1" applyFill="1" applyBorder="1" applyAlignment="1" applyProtection="1">
      <alignment horizontal="center" vertical="center"/>
    </xf>
    <xf numFmtId="3" fontId="12" fillId="0" borderId="9" xfId="14" applyNumberFormat="1" applyFont="1" applyFill="1" applyBorder="1" applyAlignment="1" applyProtection="1">
      <alignment horizontal="center" vertical="center"/>
    </xf>
    <xf numFmtId="3" fontId="12" fillId="0" borderId="18" xfId="14" applyNumberFormat="1" applyFont="1" applyBorder="1" applyAlignment="1" applyProtection="1">
      <alignment horizontal="center" vertical="center"/>
    </xf>
    <xf numFmtId="3" fontId="12" fillId="0" borderId="2" xfId="14" applyNumberFormat="1" applyFont="1" applyBorder="1" applyAlignment="1" applyProtection="1">
      <alignment horizontal="center" vertical="center"/>
    </xf>
    <xf numFmtId="3" fontId="12" fillId="0" borderId="9" xfId="14" applyNumberFormat="1" applyFont="1" applyBorder="1" applyAlignment="1" applyProtection="1">
      <alignment horizontal="center" vertical="center"/>
    </xf>
    <xf numFmtId="0" fontId="53" fillId="10" borderId="19" xfId="0" applyFont="1" applyFill="1" applyBorder="1" applyAlignment="1" applyProtection="1">
      <protection locked="0"/>
    </xf>
    <xf numFmtId="0" fontId="53" fillId="10" borderId="11" xfId="0" applyFont="1" applyFill="1" applyBorder="1" applyAlignment="1" applyProtection="1">
      <protection locked="0"/>
    </xf>
    <xf numFmtId="0" fontId="53" fillId="10" borderId="8" xfId="0" applyFont="1" applyFill="1" applyBorder="1" applyAlignment="1" applyProtection="1">
      <protection locked="0"/>
    </xf>
    <xf numFmtId="0" fontId="53" fillId="10" borderId="18" xfId="0" applyFont="1" applyFill="1" applyBorder="1" applyAlignment="1" applyProtection="1">
      <protection locked="0"/>
    </xf>
    <xf numFmtId="0" fontId="53" fillId="10" borderId="2" xfId="0" applyFont="1" applyFill="1" applyBorder="1" applyAlignment="1" applyProtection="1">
      <protection locked="0"/>
    </xf>
    <xf numFmtId="0" fontId="53" fillId="10" borderId="9" xfId="0" applyFont="1" applyFill="1" applyBorder="1" applyAlignment="1" applyProtection="1">
      <protection locked="0"/>
    </xf>
    <xf numFmtId="0" fontId="10" fillId="2" borderId="0" xfId="0" applyFont="1" applyFill="1" applyBorder="1" applyAlignment="1" applyProtection="1">
      <alignment horizontal="left" vertical="top" wrapText="1"/>
      <protection locked="0"/>
    </xf>
    <xf numFmtId="0" fontId="46" fillId="2" borderId="0" xfId="0" applyFont="1" applyFill="1" applyBorder="1" applyAlignment="1" applyProtection="1">
      <alignment vertical="center"/>
      <protection locked="0"/>
    </xf>
    <xf numFmtId="0" fontId="14" fillId="2" borderId="0" xfId="0" applyFont="1" applyFill="1" applyBorder="1" applyAlignment="1">
      <alignment horizontal="center" vertical="center" wrapText="1"/>
    </xf>
    <xf numFmtId="0" fontId="48" fillId="2" borderId="0" xfId="0" applyFont="1" applyFill="1" applyBorder="1" applyAlignment="1">
      <alignment horizontal="right" wrapText="1"/>
    </xf>
    <xf numFmtId="0" fontId="117" fillId="2" borderId="0" xfId="0" applyFont="1" applyFill="1" applyBorder="1" applyAlignment="1" applyProtection="1">
      <alignment horizontal="center" wrapText="1"/>
      <protection locked="0"/>
    </xf>
    <xf numFmtId="0" fontId="48" fillId="2" borderId="2" xfId="0" applyFont="1" applyFill="1" applyBorder="1" applyAlignment="1">
      <alignment horizontal="right" wrapText="1"/>
    </xf>
    <xf numFmtId="0" fontId="81" fillId="2" borderId="11" xfId="9" applyFont="1" applyFill="1" applyBorder="1" applyAlignment="1" applyProtection="1">
      <alignment horizontal="left"/>
      <protection locked="0"/>
    </xf>
    <xf numFmtId="0" fontId="81" fillId="2" borderId="0" xfId="9" applyFont="1" applyFill="1" applyBorder="1" applyAlignment="1" applyProtection="1">
      <alignment horizontal="left"/>
      <protection locked="0"/>
    </xf>
    <xf numFmtId="0" fontId="5" fillId="2" borderId="0" xfId="0" applyFont="1" applyFill="1" applyBorder="1" applyAlignment="1" applyProtection="1">
      <alignment horizontal="right"/>
      <protection locked="0"/>
    </xf>
    <xf numFmtId="0" fontId="5" fillId="0" borderId="0" xfId="0" applyFont="1" applyBorder="1" applyAlignment="1">
      <alignment horizontal="right"/>
    </xf>
    <xf numFmtId="0" fontId="0" fillId="2" borderId="0" xfId="0" applyFill="1" applyBorder="1" applyAlignment="1" applyProtection="1">
      <protection locked="0"/>
    </xf>
    <xf numFmtId="0" fontId="0" fillId="0" borderId="0" xfId="0" applyBorder="1" applyAlignment="1"/>
    <xf numFmtId="167" fontId="0" fillId="2" borderId="0" xfId="0" applyNumberFormat="1" applyFill="1" applyBorder="1" applyAlignment="1" applyProtection="1">
      <protection locked="0"/>
    </xf>
    <xf numFmtId="167" fontId="0" fillId="0" borderId="0" xfId="0" applyNumberFormat="1" applyBorder="1" applyAlignment="1"/>
    <xf numFmtId="0" fontId="5" fillId="2" borderId="0" xfId="0" applyFont="1" applyFill="1" applyBorder="1" applyAlignment="1" applyProtection="1">
      <alignment horizontal="right" vertical="center"/>
      <protection locked="0"/>
    </xf>
    <xf numFmtId="0" fontId="5" fillId="0" borderId="0" xfId="0" applyFont="1" applyBorder="1" applyAlignment="1">
      <alignment horizontal="right" vertical="center"/>
    </xf>
    <xf numFmtId="0" fontId="5" fillId="2" borderId="10" xfId="0" applyFont="1" applyFill="1" applyBorder="1" applyAlignment="1" applyProtection="1">
      <alignment horizontal="center"/>
      <protection locked="0"/>
    </xf>
    <xf numFmtId="0" fontId="0" fillId="0" borderId="10" xfId="0" applyBorder="1" applyAlignment="1"/>
    <xf numFmtId="0" fontId="76" fillId="2" borderId="20" xfId="0" applyFont="1" applyFill="1" applyBorder="1" applyAlignment="1" applyProtection="1">
      <alignment horizontal="center" vertical="top"/>
    </xf>
    <xf numFmtId="0" fontId="76" fillId="2" borderId="0" xfId="0" applyFont="1" applyFill="1" applyBorder="1" applyAlignment="1" applyProtection="1">
      <alignment horizontal="center" vertical="top"/>
    </xf>
    <xf numFmtId="0" fontId="76" fillId="2" borderId="21" xfId="0" applyFont="1" applyFill="1" applyBorder="1" applyAlignment="1" applyProtection="1">
      <alignment horizontal="center" vertical="top"/>
    </xf>
    <xf numFmtId="0" fontId="76" fillId="2" borderId="18" xfId="0" applyFont="1" applyFill="1" applyBorder="1" applyAlignment="1" applyProtection="1">
      <alignment horizontal="center" vertical="top"/>
    </xf>
    <xf numFmtId="0" fontId="76" fillId="2" borderId="2" xfId="0" applyFont="1" applyFill="1" applyBorder="1" applyAlignment="1" applyProtection="1">
      <alignment horizontal="center" vertical="top"/>
    </xf>
    <xf numFmtId="0" fontId="76" fillId="2" borderId="9" xfId="0" applyFont="1" applyFill="1" applyBorder="1" applyAlignment="1" applyProtection="1">
      <alignment horizontal="center" vertical="top"/>
    </xf>
    <xf numFmtId="167" fontId="55" fillId="2" borderId="17" xfId="0" applyNumberFormat="1" applyFont="1" applyFill="1" applyBorder="1" applyAlignment="1" applyProtection="1">
      <alignment horizontal="center" vertical="center" wrapText="1"/>
    </xf>
    <xf numFmtId="167" fontId="55" fillId="2" borderId="16" xfId="0" applyNumberFormat="1" applyFont="1" applyFill="1" applyBorder="1" applyAlignment="1" applyProtection="1">
      <alignment horizontal="center" vertical="center" wrapText="1"/>
    </xf>
    <xf numFmtId="0" fontId="75" fillId="2" borderId="24" xfId="0" applyFont="1" applyFill="1" applyBorder="1" applyAlignment="1" applyProtection="1">
      <alignment horizontal="right"/>
    </xf>
    <xf numFmtId="0" fontId="78" fillId="2" borderId="17" xfId="0" applyFont="1" applyFill="1" applyBorder="1" applyAlignment="1" applyProtection="1">
      <alignment horizontal="center" vertical="center" wrapText="1"/>
    </xf>
    <xf numFmtId="0" fontId="78" fillId="2" borderId="16" xfId="0" applyFont="1" applyFill="1" applyBorder="1" applyAlignment="1" applyProtection="1">
      <alignment horizontal="center" vertical="center" wrapText="1"/>
    </xf>
    <xf numFmtId="167" fontId="55" fillId="2" borderId="22" xfId="0" applyNumberFormat="1" applyFont="1" applyFill="1" applyBorder="1" applyAlignment="1" applyProtection="1">
      <alignment horizontal="center" vertical="center"/>
    </xf>
    <xf numFmtId="167" fontId="55" fillId="2" borderId="19" xfId="0" applyNumberFormat="1" applyFont="1" applyFill="1" applyBorder="1" applyAlignment="1" applyProtection="1">
      <alignment horizontal="center" vertical="center" wrapText="1"/>
    </xf>
    <xf numFmtId="167" fontId="55" fillId="2" borderId="8" xfId="0" applyNumberFormat="1" applyFont="1" applyFill="1" applyBorder="1" applyAlignment="1" applyProtection="1">
      <alignment horizontal="center" vertical="center" wrapText="1"/>
    </xf>
    <xf numFmtId="0" fontId="54" fillId="2" borderId="2" xfId="0" applyFont="1" applyFill="1" applyBorder="1" applyProtection="1">
      <protection locked="0"/>
    </xf>
    <xf numFmtId="167" fontId="55" fillId="2" borderId="2" xfId="0" applyNumberFormat="1" applyFont="1" applyFill="1" applyBorder="1" applyAlignment="1" applyProtection="1">
      <alignment horizontal="center" vertical="center"/>
      <protection locked="0"/>
    </xf>
    <xf numFmtId="167" fontId="55" fillId="2" borderId="9" xfId="0" applyNumberFormat="1" applyFont="1" applyFill="1" applyBorder="1" applyAlignment="1" applyProtection="1">
      <alignment horizontal="center" vertical="center"/>
      <protection locked="0"/>
    </xf>
    <xf numFmtId="0" fontId="55" fillId="2" borderId="0" xfId="0" applyFont="1" applyFill="1" applyAlignment="1" applyProtection="1">
      <alignment horizontal="right"/>
      <protection locked="0"/>
    </xf>
    <xf numFmtId="0" fontId="76" fillId="2" borderId="19" xfId="0" applyFont="1" applyFill="1" applyBorder="1" applyAlignment="1" applyProtection="1">
      <alignment horizontal="center"/>
    </xf>
    <xf numFmtId="0" fontId="76" fillId="2" borderId="11" xfId="0" applyFont="1" applyFill="1" applyBorder="1" applyAlignment="1" applyProtection="1">
      <alignment horizontal="center"/>
    </xf>
    <xf numFmtId="0" fontId="76" fillId="2" borderId="8" xfId="0" applyFont="1" applyFill="1" applyBorder="1" applyAlignment="1" applyProtection="1">
      <alignment horizontal="center"/>
    </xf>
    <xf numFmtId="0" fontId="78" fillId="2" borderId="22" xfId="0" applyFont="1" applyFill="1" applyBorder="1" applyAlignment="1" applyProtection="1">
      <alignment horizontal="left" vertical="center" wrapText="1"/>
      <protection locked="0"/>
    </xf>
    <xf numFmtId="0" fontId="78" fillId="2" borderId="24" xfId="0" applyFont="1" applyFill="1" applyBorder="1" applyAlignment="1" applyProtection="1">
      <alignment horizontal="left" vertical="center" wrapText="1"/>
      <protection locked="0"/>
    </xf>
    <xf numFmtId="0" fontId="75" fillId="2" borderId="18" xfId="0" applyFont="1" applyFill="1" applyBorder="1" applyAlignment="1" applyProtection="1">
      <alignment horizontal="left" vertical="top" wrapText="1"/>
    </xf>
    <xf numFmtId="0" fontId="75" fillId="2" borderId="9" xfId="0" applyFont="1" applyFill="1" applyBorder="1" applyAlignment="1" applyProtection="1">
      <alignment horizontal="left" vertical="top" wrapText="1"/>
    </xf>
    <xf numFmtId="0" fontId="73" fillId="2" borderId="18" xfId="0" applyFont="1" applyFill="1" applyBorder="1" applyAlignment="1" applyProtection="1">
      <alignment horizontal="center" vertical="top" wrapText="1"/>
    </xf>
    <xf numFmtId="0" fontId="73" fillId="2" borderId="9" xfId="0" applyFont="1" applyFill="1" applyBorder="1" applyAlignment="1" applyProtection="1">
      <alignment horizontal="center" vertical="top" wrapText="1"/>
    </xf>
    <xf numFmtId="0" fontId="55" fillId="2" borderId="11" xfId="0" applyFont="1" applyFill="1" applyBorder="1" applyAlignment="1" applyProtection="1">
      <alignment horizontal="right"/>
      <protection locked="0"/>
    </xf>
    <xf numFmtId="167" fontId="55" fillId="2" borderId="31" xfId="0" applyNumberFormat="1" applyFont="1" applyFill="1" applyBorder="1" applyAlignment="1" applyProtection="1">
      <alignment horizontal="center" vertical="center"/>
    </xf>
    <xf numFmtId="167" fontId="55" fillId="2" borderId="32" xfId="0" applyNumberFormat="1" applyFont="1" applyFill="1" applyBorder="1" applyAlignment="1" applyProtection="1">
      <alignment horizontal="center" vertical="center"/>
    </xf>
    <xf numFmtId="1" fontId="49" fillId="0" borderId="22" xfId="10" applyNumberFormat="1" applyFont="1" applyBorder="1" applyAlignment="1">
      <alignment horizontal="center"/>
    </xf>
    <xf numFmtId="1" fontId="49" fillId="0" borderId="24" xfId="10" applyNumberFormat="1" applyFont="1" applyBorder="1" applyAlignment="1">
      <alignment horizontal="center"/>
    </xf>
    <xf numFmtId="0" fontId="57" fillId="6" borderId="4" xfId="10" applyFont="1" applyFill="1" applyBorder="1" applyAlignment="1">
      <alignment horizontal="center"/>
    </xf>
    <xf numFmtId="0" fontId="57" fillId="6" borderId="0" xfId="10" applyFont="1" applyFill="1" applyBorder="1" applyAlignment="1">
      <alignment horizontal="center"/>
    </xf>
    <xf numFmtId="0" fontId="57" fillId="6" borderId="2" xfId="10" applyFont="1" applyFill="1" applyBorder="1" applyAlignment="1">
      <alignment horizontal="center"/>
    </xf>
    <xf numFmtId="0" fontId="66" fillId="0" borderId="29" xfId="10" applyFont="1" applyBorder="1" applyAlignment="1">
      <alignment horizontal="left"/>
    </xf>
    <xf numFmtId="0" fontId="57" fillId="0" borderId="17" xfId="10" applyFont="1" applyBorder="1" applyAlignment="1">
      <alignment horizontal="right"/>
    </xf>
    <xf numFmtId="0" fontId="57" fillId="0" borderId="10" xfId="10" applyFont="1" applyBorder="1" applyAlignment="1">
      <alignment horizontal="right"/>
    </xf>
    <xf numFmtId="0" fontId="57" fillId="0" borderId="16" xfId="10" applyFont="1" applyBorder="1" applyAlignment="1">
      <alignment horizontal="right"/>
    </xf>
    <xf numFmtId="0" fontId="49" fillId="0" borderId="22" xfId="10" applyFont="1" applyBorder="1" applyAlignment="1">
      <alignment horizontal="left" wrapText="1"/>
    </xf>
    <xf numFmtId="0" fontId="49" fillId="0" borderId="24" xfId="10" applyFont="1" applyBorder="1" applyAlignment="1">
      <alignment horizontal="left" wrapText="1"/>
    </xf>
    <xf numFmtId="0" fontId="57" fillId="0" borderId="0" xfId="10" applyFont="1" applyBorder="1" applyAlignment="1">
      <alignment horizontal="right"/>
    </xf>
    <xf numFmtId="0" fontId="12" fillId="0" borderId="0" xfId="10" applyFont="1" applyBorder="1" applyAlignment="1">
      <alignment horizontal="left" indent="1"/>
    </xf>
    <xf numFmtId="0" fontId="49" fillId="0" borderId="2" xfId="10" applyFont="1" applyBorder="1" applyAlignment="1">
      <alignment horizontal="left"/>
    </xf>
    <xf numFmtId="0" fontId="49" fillId="0" borderId="9" xfId="10" applyFont="1" applyBorder="1" applyAlignment="1">
      <alignment horizontal="left"/>
    </xf>
    <xf numFmtId="0" fontId="48" fillId="0" borderId="10" xfId="10" applyFont="1" applyBorder="1" applyAlignment="1">
      <alignment horizontal="left"/>
    </xf>
    <xf numFmtId="3" fontId="49" fillId="0" borderId="20" xfId="10" applyNumberFormat="1" applyFont="1" applyBorder="1" applyAlignment="1">
      <alignment horizontal="right"/>
    </xf>
    <xf numFmtId="3" fontId="49" fillId="0" borderId="21" xfId="10" applyNumberFormat="1" applyFont="1" applyBorder="1" applyAlignment="1">
      <alignment horizontal="right"/>
    </xf>
    <xf numFmtId="3" fontId="49" fillId="0" borderId="19" xfId="10" applyNumberFormat="1" applyFont="1" applyBorder="1" applyAlignment="1">
      <alignment horizontal="right"/>
    </xf>
    <xf numFmtId="3" fontId="49" fillId="0" borderId="8" xfId="10" applyNumberFormat="1" applyFont="1" applyBorder="1" applyAlignment="1">
      <alignment horizontal="right"/>
    </xf>
    <xf numFmtId="167" fontId="49" fillId="0" borderId="33" xfId="10" applyNumberFormat="1" applyFont="1" applyBorder="1" applyAlignment="1">
      <alignment horizontal="right"/>
    </xf>
    <xf numFmtId="167" fontId="49" fillId="0" borderId="34" xfId="10" applyNumberFormat="1" applyFont="1" applyBorder="1" applyAlignment="1">
      <alignment horizontal="right"/>
    </xf>
    <xf numFmtId="0" fontId="49" fillId="0" borderId="28" xfId="10" applyFont="1" applyBorder="1" applyAlignment="1">
      <alignment horizontal="left"/>
    </xf>
    <xf numFmtId="0" fontId="49" fillId="0" borderId="10" xfId="10" applyFont="1" applyBorder="1" applyAlignment="1">
      <alignment horizontal="left"/>
    </xf>
    <xf numFmtId="172" fontId="57" fillId="0" borderId="20" xfId="10" applyNumberFormat="1" applyFont="1" applyBorder="1" applyAlignment="1">
      <alignment horizontal="center"/>
    </xf>
    <xf numFmtId="172" fontId="57" fillId="0" borderId="18" xfId="10" applyNumberFormat="1" applyFont="1" applyBorder="1" applyAlignment="1">
      <alignment horizontal="center"/>
    </xf>
    <xf numFmtId="0" fontId="0" fillId="0" borderId="0" xfId="0"/>
    <xf numFmtId="0" fontId="56" fillId="0" borderId="0" xfId="10" applyFont="1" applyBorder="1" applyAlignment="1">
      <alignment horizontal="right" indent="1"/>
    </xf>
    <xf numFmtId="172" fontId="57" fillId="0" borderId="23" xfId="10" applyNumberFormat="1" applyFont="1" applyBorder="1" applyAlignment="1">
      <alignment horizontal="center"/>
    </xf>
    <xf numFmtId="172" fontId="57" fillId="0" borderId="24" xfId="10" applyNumberFormat="1" applyFont="1" applyBorder="1" applyAlignment="1">
      <alignment horizontal="center"/>
    </xf>
    <xf numFmtId="0" fontId="57" fillId="0" borderId="8" xfId="10" applyFont="1" applyBorder="1" applyAlignment="1">
      <alignment horizontal="center" vertical="center"/>
    </xf>
    <xf numFmtId="0" fontId="57" fillId="0" borderId="21" xfId="10" applyFont="1" applyBorder="1" applyAlignment="1">
      <alignment horizontal="center" vertical="center"/>
    </xf>
    <xf numFmtId="0" fontId="57" fillId="0" borderId="9" xfId="10" applyFont="1" applyBorder="1" applyAlignment="1">
      <alignment horizontal="center" vertical="center"/>
    </xf>
    <xf numFmtId="0" fontId="57" fillId="0" borderId="2" xfId="10" applyFont="1" applyBorder="1" applyAlignment="1">
      <alignment horizontal="right"/>
    </xf>
    <xf numFmtId="0" fontId="60" fillId="0" borderId="2" xfId="10" applyFont="1" applyBorder="1" applyAlignment="1">
      <alignment horizontal="left"/>
    </xf>
    <xf numFmtId="37" fontId="46" fillId="0" borderId="2" xfId="19" applyNumberFormat="1" applyFont="1" applyBorder="1" applyAlignment="1" applyProtection="1">
      <alignment horizontal="right"/>
      <protection locked="0"/>
    </xf>
    <xf numFmtId="10" fontId="46" fillId="0" borderId="2" xfId="19" applyNumberFormat="1" applyFont="1" applyBorder="1" applyAlignment="1" applyProtection="1">
      <alignment horizontal="center"/>
      <protection locked="0"/>
    </xf>
    <xf numFmtId="10" fontId="46" fillId="0" borderId="0" xfId="19" applyNumberFormat="1" applyFont="1" applyBorder="1" applyAlignment="1" applyProtection="1">
      <alignment horizontal="center"/>
      <protection locked="0"/>
    </xf>
    <xf numFmtId="0" fontId="12" fillId="0" borderId="2" xfId="11" applyFont="1" applyBorder="1" applyAlignment="1" applyProtection="1">
      <alignment horizontal="center" vertical="center"/>
      <protection locked="0"/>
    </xf>
    <xf numFmtId="0" fontId="30" fillId="0" borderId="0" xfId="18" applyFont="1" applyBorder="1" applyAlignment="1">
      <alignment horizontal="left" vertical="center"/>
    </xf>
    <xf numFmtId="0" fontId="30" fillId="0" borderId="10" xfId="18" applyFont="1" applyBorder="1" applyAlignment="1">
      <alignment horizontal="left" wrapText="1"/>
    </xf>
    <xf numFmtId="0" fontId="4" fillId="2" borderId="22" xfId="0" applyFont="1" applyFill="1" applyBorder="1" applyAlignment="1" applyProtection="1">
      <alignment horizontal="center" vertical="center"/>
      <protection locked="0"/>
    </xf>
    <xf numFmtId="0" fontId="5" fillId="9" borderId="0" xfId="0" applyFont="1" applyFill="1" applyAlignment="1" applyProtection="1">
      <alignment horizontal="center" vertical="center" textRotation="90" wrapText="1"/>
    </xf>
    <xf numFmtId="0" fontId="4" fillId="0" borderId="0" xfId="0" applyFont="1" applyAlignment="1" applyProtection="1">
      <alignment textRotation="90" wrapText="1"/>
    </xf>
    <xf numFmtId="0" fontId="4" fillId="2" borderId="15"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12" fillId="7" borderId="0" xfId="0" applyFont="1" applyFill="1" applyAlignment="1">
      <alignment horizontal="left" wrapText="1"/>
    </xf>
    <xf numFmtId="0" fontId="12" fillId="7" borderId="0" xfId="0" applyFont="1" applyFill="1" applyAlignment="1">
      <alignment horizontal="left"/>
    </xf>
    <xf numFmtId="0" fontId="5" fillId="9" borderId="0" xfId="0" applyFont="1" applyFill="1" applyAlignment="1">
      <alignment horizontal="center" vertical="center" textRotation="90" wrapText="1"/>
    </xf>
    <xf numFmtId="0" fontId="4" fillId="0" borderId="0" xfId="0" applyFont="1" applyAlignment="1">
      <alignment textRotation="90" wrapText="1"/>
    </xf>
    <xf numFmtId="0" fontId="5" fillId="9" borderId="17" xfId="0" applyFont="1" applyFill="1" applyBorder="1" applyAlignment="1" applyProtection="1">
      <alignment horizontal="center" vertical="center"/>
    </xf>
    <xf numFmtId="0" fontId="5" fillId="9" borderId="10" xfId="0" applyFont="1" applyFill="1" applyBorder="1" applyAlignment="1" applyProtection="1">
      <alignment horizontal="center" vertical="center"/>
    </xf>
    <xf numFmtId="0" fontId="5" fillId="9" borderId="16" xfId="0" applyFont="1" applyFill="1" applyBorder="1" applyAlignment="1" applyProtection="1">
      <alignment horizontal="center" vertical="center"/>
    </xf>
    <xf numFmtId="0" fontId="4" fillId="7" borderId="0" xfId="20" applyFont="1" applyFill="1" applyAlignment="1">
      <alignment horizontal="center" wrapText="1"/>
    </xf>
    <xf numFmtId="0" fontId="4" fillId="7" borderId="0" xfId="20" applyFont="1" applyFill="1" applyAlignment="1">
      <alignment horizontal="left"/>
    </xf>
    <xf numFmtId="0" fontId="12" fillId="7" borderId="0" xfId="0" applyFont="1" applyFill="1" applyAlignment="1">
      <alignment wrapText="1"/>
    </xf>
    <xf numFmtId="0" fontId="0" fillId="0" borderId="0" xfId="0" applyAlignment="1">
      <alignment wrapText="1"/>
    </xf>
  </cellXfs>
  <cellStyles count="120">
    <cellStyle name="20% - Accent1" xfId="52" builtinId="30" customBuiltin="1"/>
    <cellStyle name="20% - Accent1 2" xfId="104"/>
    <cellStyle name="20% - Accent1 3" xfId="87"/>
    <cellStyle name="20% - Accent2" xfId="56" builtinId="34" customBuiltin="1"/>
    <cellStyle name="20% - Accent2 2" xfId="106"/>
    <cellStyle name="20% - Accent2 3" xfId="89"/>
    <cellStyle name="20% - Accent3" xfId="60" builtinId="38" customBuiltin="1"/>
    <cellStyle name="20% - Accent3 2" xfId="108"/>
    <cellStyle name="20% - Accent3 3" xfId="91"/>
    <cellStyle name="20% - Accent4" xfId="64" builtinId="42" customBuiltin="1"/>
    <cellStyle name="20% - Accent4 2" xfId="110"/>
    <cellStyle name="20% - Accent4 3" xfId="93"/>
    <cellStyle name="20% - Accent5" xfId="68" builtinId="46" customBuiltin="1"/>
    <cellStyle name="20% - Accent5 2" xfId="112"/>
    <cellStyle name="20% - Accent5 3" xfId="95"/>
    <cellStyle name="20% - Accent6" xfId="72" builtinId="50" customBuiltin="1"/>
    <cellStyle name="20% - Accent6 2" xfId="114"/>
    <cellStyle name="20% - Accent6 3" xfId="97"/>
    <cellStyle name="40% - Accent1" xfId="53" builtinId="31" customBuiltin="1"/>
    <cellStyle name="40% - Accent1 2" xfId="105"/>
    <cellStyle name="40% - Accent1 3" xfId="88"/>
    <cellStyle name="40% - Accent2" xfId="57" builtinId="35" customBuiltin="1"/>
    <cellStyle name="40% - Accent2 2" xfId="107"/>
    <cellStyle name="40% - Accent2 3" xfId="90"/>
    <cellStyle name="40% - Accent3" xfId="61" builtinId="39" customBuiltin="1"/>
    <cellStyle name="40% - Accent3 2" xfId="109"/>
    <cellStyle name="40% - Accent3 3" xfId="92"/>
    <cellStyle name="40% - Accent4" xfId="65" builtinId="43" customBuiltin="1"/>
    <cellStyle name="40% - Accent4 2" xfId="111"/>
    <cellStyle name="40% - Accent4 3" xfId="94"/>
    <cellStyle name="40% - Accent5" xfId="69" builtinId="47" customBuiltin="1"/>
    <cellStyle name="40% - Accent5 2" xfId="113"/>
    <cellStyle name="40% - Accent5 3" xfId="96"/>
    <cellStyle name="40% - Accent6" xfId="73" builtinId="51" customBuiltin="1"/>
    <cellStyle name="40% - Accent6 2" xfId="115"/>
    <cellStyle name="40% - Accent6 3" xfId="98"/>
    <cellStyle name="60% - Accent1" xfId="54" builtinId="32" customBuiltin="1"/>
    <cellStyle name="60% - Accent2" xfId="58" builtinId="36" customBuiltin="1"/>
    <cellStyle name="60% - Accent3" xfId="62" builtinId="40" customBuiltin="1"/>
    <cellStyle name="60% - Accent4" xfId="66" builtinId="44" customBuiltin="1"/>
    <cellStyle name="60% - Accent5" xfId="70" builtinId="48" customBuiltin="1"/>
    <cellStyle name="60% - Accent6" xfId="74" builtinId="52" customBuiltin="1"/>
    <cellStyle name="Accent1" xfId="51" builtinId="29" customBuiltin="1"/>
    <cellStyle name="Accent2" xfId="55" builtinId="33" customBuiltin="1"/>
    <cellStyle name="Accent3" xfId="59" builtinId="37" customBuiltin="1"/>
    <cellStyle name="Accent4" xfId="63" builtinId="41" customBuiltin="1"/>
    <cellStyle name="Accent5" xfId="67" builtinId="45" customBuiltin="1"/>
    <cellStyle name="Accent6" xfId="71" builtinId="49" customBuiltin="1"/>
    <cellStyle name="Bad" xfId="42" builtinId="27" customBuiltin="1"/>
    <cellStyle name="Calculation" xfId="46" builtinId="22" customBuiltin="1"/>
    <cellStyle name="Check Cell" xfId="48" builtinId="23" customBuiltin="1"/>
    <cellStyle name="Comma" xfId="1" builtinId="3"/>
    <cellStyle name="Comma 2" xfId="22"/>
    <cellStyle name="Comma 2 2" xfId="23"/>
    <cellStyle name="Comma 2 3" xfId="81"/>
    <cellStyle name="Comma 3" xfId="82"/>
    <cellStyle name="Comma0" xfId="2"/>
    <cellStyle name="Currency" xfId="3" builtinId="4"/>
    <cellStyle name="Currency 2" xfId="24"/>
    <cellStyle name="Currency 2 2" xfId="25"/>
    <cellStyle name="Currency 2 3" xfId="83"/>
    <cellStyle name="Currency 3" xfId="34"/>
    <cellStyle name="Currency 3 2" xfId="100"/>
    <cellStyle name="Currency0" xfId="4"/>
    <cellStyle name="Date" xfId="5"/>
    <cellStyle name="Explanatory Text" xfId="50" builtinId="53" customBuiltin="1"/>
    <cellStyle name="Fixed" xfId="6"/>
    <cellStyle name="Good" xfId="41" builtinId="26" customBuiltin="1"/>
    <cellStyle name="Heading 1" xfId="7" builtinId="16" customBuiltin="1"/>
    <cellStyle name="Heading 1 2" xfId="26"/>
    <cellStyle name="Heading 1 2 2" xfId="76"/>
    <cellStyle name="Heading 1 3" xfId="35"/>
    <cellStyle name="Heading 2" xfId="8" builtinId="17" customBuiltin="1"/>
    <cellStyle name="Heading 2 2" xfId="27"/>
    <cellStyle name="Heading 2 2 2" xfId="77"/>
    <cellStyle name="Heading 2 3" xfId="36"/>
    <cellStyle name="Heading 3" xfId="39" builtinId="18" customBuiltin="1"/>
    <cellStyle name="Heading 4" xfId="40" builtinId="19" customBuiltin="1"/>
    <cellStyle name="Hyperlink" xfId="9" builtinId="8"/>
    <cellStyle name="Hyperlink 2" xfId="28"/>
    <cellStyle name="Hyperlink 3" xfId="37"/>
    <cellStyle name="Hyperlink 4" xfId="86"/>
    <cellStyle name="Input" xfId="44" builtinId="20" customBuiltin="1"/>
    <cellStyle name="Linked Cell" xfId="47" builtinId="24" customBuiltin="1"/>
    <cellStyle name="Neutral" xfId="43" builtinId="28" customBuiltin="1"/>
    <cellStyle name="Normal" xfId="0" builtinId="0"/>
    <cellStyle name="Normal 2" xfId="14"/>
    <cellStyle name="Normal 2 2" xfId="20"/>
    <cellStyle name="Normal 3" xfId="15"/>
    <cellStyle name="Normal 3 2" xfId="75"/>
    <cellStyle name="Normal 3 2 2" xfId="116"/>
    <cellStyle name="Normal 3 3" xfId="101"/>
    <cellStyle name="Normal 4" xfId="16"/>
    <cellStyle name="Normal 4 2" xfId="99"/>
    <cellStyle name="Normal 5" xfId="32"/>
    <cellStyle name="Normal_05-NIH" xfId="10"/>
    <cellStyle name="Normal_CHKLST1" xfId="18"/>
    <cellStyle name="Normal_CHKLST2" xfId="19"/>
    <cellStyle name="Normal_ENTBUDGT" xfId="17"/>
    <cellStyle name="Normal_FIRSTBUD" xfId="11"/>
    <cellStyle name="Note 2" xfId="78"/>
    <cellStyle name="Note 2 2" xfId="117"/>
    <cellStyle name="Note 2 3" xfId="102"/>
    <cellStyle name="Output" xfId="45" builtinId="21" customBuiltin="1"/>
    <cellStyle name="Percent" xfId="12" builtinId="5"/>
    <cellStyle name="Percent 2" xfId="29"/>
    <cellStyle name="Percent 2 2" xfId="21"/>
    <cellStyle name="Percent 2 2 2" xfId="84"/>
    <cellStyle name="Percent 2 3" xfId="85"/>
    <cellStyle name="Percent 3" xfId="30"/>
    <cellStyle name="Percent 3 2" xfId="79"/>
    <cellStyle name="Percent 3 2 2" xfId="103"/>
    <cellStyle name="Percent 3 3" xfId="118"/>
    <cellStyle name="Percent 4" xfId="33"/>
    <cellStyle name="Percent 4 2" xfId="119"/>
    <cellStyle name="Title" xfId="38" builtinId="15" customBuiltin="1"/>
    <cellStyle name="Total" xfId="13" builtinId="25" customBuiltin="1"/>
    <cellStyle name="Total 2" xfId="31"/>
    <cellStyle name="Total 2 2" xfId="80"/>
    <cellStyle name="Warning Text" xfId="49" builtinId="11" customBuiltin="1"/>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48</xdr:row>
      <xdr:rowOff>28575</xdr:rowOff>
    </xdr:from>
    <xdr:to>
      <xdr:col>6</xdr:col>
      <xdr:colOff>1523999</xdr:colOff>
      <xdr:row>52</xdr:row>
      <xdr:rowOff>0</xdr:rowOff>
    </xdr:to>
    <xdr:sp macro="" textlink="">
      <xdr:nvSpPr>
        <xdr:cNvPr id="2" name="Text 62"/>
        <xdr:cNvSpPr txBox="1">
          <a:spLocks noChangeArrowheads="1"/>
        </xdr:cNvSpPr>
      </xdr:nvSpPr>
      <xdr:spPr bwMode="auto">
        <a:xfrm>
          <a:off x="47625" y="9353550"/>
          <a:ext cx="4343399" cy="619125"/>
        </a:xfrm>
        <a:prstGeom prst="rect">
          <a:avLst/>
        </a:prstGeom>
        <a:solidFill>
          <a:srgbClr val="FFFFFF"/>
        </a:solidFill>
        <a:ln w="1">
          <a:noFill/>
          <a:miter lim="800000"/>
          <a:headEnd/>
          <a:tailEnd/>
        </a:ln>
      </xdr:spPr>
      <xdr:txBody>
        <a:bodyPr vertOverflow="clip" wrap="square" lIns="27432" tIns="18288" rIns="27432" bIns="0" anchor="t" upright="1"/>
        <a:lstStyle/>
        <a:p>
          <a:pPr algn="l" rtl="0">
            <a:defRPr sz="1000"/>
          </a:pPr>
          <a:r>
            <a:rPr lang="en-US" sz="775" b="0" i="0" u="none" strike="noStrike" baseline="0">
              <a:solidFill>
                <a:srgbClr val="000000"/>
              </a:solidFill>
              <a:latin typeface="Arial"/>
              <a:cs typeface="Arial"/>
            </a:rPr>
            <a:t>14.  APPLICANT  ORGANIZATION  CERTIFICATION  AND ACCEPTANCE:  I certify that the statements herein are true, complete and accurate to the best of my knowledge, and accept the obligation to comply with Public Health Services terms and conditions if a grant is awarded as a result of this application. I am aware that any false, fictitious, or fraudulent statements or claims may subject me to criminal, civil, or administrative penalties. </a:t>
          </a:r>
        </a:p>
      </xdr:txBody>
    </xdr:sp>
    <xdr:clientData/>
  </xdr:twoCellAnchor>
  <xdr:twoCellAnchor>
    <xdr:from>
      <xdr:col>12</xdr:col>
      <xdr:colOff>76200</xdr:colOff>
      <xdr:row>8</xdr:row>
      <xdr:rowOff>19050</xdr:rowOff>
    </xdr:from>
    <xdr:to>
      <xdr:col>12</xdr:col>
      <xdr:colOff>209550</xdr:colOff>
      <xdr:row>8</xdr:row>
      <xdr:rowOff>142875</xdr:rowOff>
    </xdr:to>
    <xdr:sp macro="" textlink="">
      <xdr:nvSpPr>
        <xdr:cNvPr id="3" name="Rectangle 5"/>
        <xdr:cNvSpPr>
          <a:spLocks noChangeArrowheads="1"/>
        </xdr:cNvSpPr>
      </xdr:nvSpPr>
      <xdr:spPr bwMode="auto">
        <a:xfrm>
          <a:off x="6896100" y="1562100"/>
          <a:ext cx="133350" cy="123825"/>
        </a:xfrm>
        <a:prstGeom prst="rect">
          <a:avLst/>
        </a:prstGeom>
        <a:noFill/>
        <a:ln w="9525">
          <a:solidFill>
            <a:srgbClr val="000000"/>
          </a:solidFill>
          <a:miter lim="800000"/>
          <a:headEnd/>
          <a:tailEnd/>
        </a:ln>
      </xdr:spPr>
    </xdr:sp>
    <xdr:clientData/>
  </xdr:twoCellAnchor>
  <xdr:twoCellAnchor>
    <xdr:from>
      <xdr:col>13</xdr:col>
      <xdr:colOff>304800</xdr:colOff>
      <xdr:row>8</xdr:row>
      <xdr:rowOff>19050</xdr:rowOff>
    </xdr:from>
    <xdr:to>
      <xdr:col>13</xdr:col>
      <xdr:colOff>428625</xdr:colOff>
      <xdr:row>8</xdr:row>
      <xdr:rowOff>133350</xdr:rowOff>
    </xdr:to>
    <xdr:sp macro="" textlink="">
      <xdr:nvSpPr>
        <xdr:cNvPr id="4" name="Rectangle 45"/>
        <xdr:cNvSpPr>
          <a:spLocks noChangeArrowheads="1"/>
        </xdr:cNvSpPr>
      </xdr:nvSpPr>
      <xdr:spPr bwMode="auto">
        <a:xfrm>
          <a:off x="7381875" y="1562100"/>
          <a:ext cx="123825" cy="114300"/>
        </a:xfrm>
        <a:prstGeom prst="rect">
          <a:avLst/>
        </a:prstGeom>
        <a:noFill/>
        <a:ln w="9525">
          <a:solidFill>
            <a:srgbClr val="000000"/>
          </a:solidFill>
          <a:miter lim="800000"/>
          <a:headEnd/>
          <a:tailEnd/>
        </a:ln>
      </xdr:spPr>
    </xdr:sp>
    <xdr:clientData/>
  </xdr:twoCellAnchor>
  <xdr:twoCellAnchor>
    <xdr:from>
      <xdr:col>0</xdr:col>
      <xdr:colOff>57150</xdr:colOff>
      <xdr:row>3</xdr:row>
      <xdr:rowOff>0</xdr:rowOff>
    </xdr:from>
    <xdr:to>
      <xdr:col>6</xdr:col>
      <xdr:colOff>1514475</xdr:colOff>
      <xdr:row>4</xdr:row>
      <xdr:rowOff>28575</xdr:rowOff>
    </xdr:to>
    <xdr:sp macro="" textlink="">
      <xdr:nvSpPr>
        <xdr:cNvPr id="5" name="Text 52"/>
        <xdr:cNvSpPr txBox="1">
          <a:spLocks noChangeArrowheads="1"/>
        </xdr:cNvSpPr>
      </xdr:nvSpPr>
      <xdr:spPr bwMode="auto">
        <a:xfrm>
          <a:off x="57150" y="561975"/>
          <a:ext cx="4324350" cy="266700"/>
        </a:xfrm>
        <a:prstGeom prst="rect">
          <a:avLst/>
        </a:prstGeom>
        <a:solidFill>
          <a:srgbClr val="FFFFFF"/>
        </a:solidFill>
        <a:ln w="1">
          <a:noFill/>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000000"/>
              </a:solidFill>
              <a:latin typeface="Arial"/>
              <a:cs typeface="Arial"/>
            </a:rPr>
            <a:t>Grant Application</a:t>
          </a:r>
        </a:p>
      </xdr:txBody>
    </xdr:sp>
    <xdr:clientData/>
  </xdr:twoCellAnchor>
  <xdr:twoCellAnchor>
    <xdr:from>
      <xdr:col>8</xdr:col>
      <xdr:colOff>361950</xdr:colOff>
      <xdr:row>2</xdr:row>
      <xdr:rowOff>0</xdr:rowOff>
    </xdr:from>
    <xdr:to>
      <xdr:col>8</xdr:col>
      <xdr:colOff>361950</xdr:colOff>
      <xdr:row>3</xdr:row>
      <xdr:rowOff>0</xdr:rowOff>
    </xdr:to>
    <xdr:sp macro="" textlink="">
      <xdr:nvSpPr>
        <xdr:cNvPr id="6" name="Line 72"/>
        <xdr:cNvSpPr>
          <a:spLocks noChangeShapeType="1"/>
        </xdr:cNvSpPr>
      </xdr:nvSpPr>
      <xdr:spPr bwMode="auto">
        <a:xfrm>
          <a:off x="5400675" y="390525"/>
          <a:ext cx="0" cy="171450"/>
        </a:xfrm>
        <a:prstGeom prst="line">
          <a:avLst/>
        </a:prstGeom>
        <a:noFill/>
        <a:ln w="9525">
          <a:solidFill>
            <a:srgbClr val="000000"/>
          </a:solidFill>
          <a:round/>
          <a:headEnd/>
          <a:tailEnd/>
        </a:ln>
      </xdr:spPr>
    </xdr:sp>
    <xdr:clientData/>
  </xdr:twoCellAnchor>
  <xdr:twoCellAnchor>
    <xdr:from>
      <xdr:col>10</xdr:col>
      <xdr:colOff>123825</xdr:colOff>
      <xdr:row>12</xdr:row>
      <xdr:rowOff>0</xdr:rowOff>
    </xdr:from>
    <xdr:to>
      <xdr:col>10</xdr:col>
      <xdr:colOff>123825</xdr:colOff>
      <xdr:row>14</xdr:row>
      <xdr:rowOff>0</xdr:rowOff>
    </xdr:to>
    <xdr:sp macro="" textlink="">
      <xdr:nvSpPr>
        <xdr:cNvPr id="7" name="Line 74"/>
        <xdr:cNvSpPr>
          <a:spLocks noChangeShapeType="1"/>
        </xdr:cNvSpPr>
      </xdr:nvSpPr>
      <xdr:spPr bwMode="auto">
        <a:xfrm>
          <a:off x="6305550" y="2314575"/>
          <a:ext cx="0" cy="390525"/>
        </a:xfrm>
        <a:prstGeom prst="line">
          <a:avLst/>
        </a:prstGeom>
        <a:noFill/>
        <a:ln w="9525">
          <a:solidFill>
            <a:srgbClr val="000000"/>
          </a:solidFill>
          <a:round/>
          <a:headEnd/>
          <a:tailEnd/>
        </a:ln>
      </xdr:spPr>
    </xdr:sp>
    <xdr:clientData/>
  </xdr:twoCellAnchor>
  <xdr:twoCellAnchor>
    <xdr:from>
      <xdr:col>10</xdr:col>
      <xdr:colOff>266700</xdr:colOff>
      <xdr:row>2</xdr:row>
      <xdr:rowOff>9525</xdr:rowOff>
    </xdr:from>
    <xdr:to>
      <xdr:col>10</xdr:col>
      <xdr:colOff>266700</xdr:colOff>
      <xdr:row>6</xdr:row>
      <xdr:rowOff>0</xdr:rowOff>
    </xdr:to>
    <xdr:sp macro="" textlink="">
      <xdr:nvSpPr>
        <xdr:cNvPr id="8" name="Line 89"/>
        <xdr:cNvSpPr>
          <a:spLocks noChangeShapeType="1"/>
        </xdr:cNvSpPr>
      </xdr:nvSpPr>
      <xdr:spPr bwMode="auto">
        <a:xfrm flipH="1">
          <a:off x="6448425" y="400050"/>
          <a:ext cx="0" cy="723900"/>
        </a:xfrm>
        <a:prstGeom prst="line">
          <a:avLst/>
        </a:prstGeom>
        <a:noFill/>
        <a:ln w="9525">
          <a:solidFill>
            <a:srgbClr val="000000"/>
          </a:solidFill>
          <a:round/>
          <a:headEnd/>
          <a:tailEnd/>
        </a:ln>
      </xdr:spPr>
    </xdr:sp>
    <xdr:clientData/>
  </xdr:twoCellAnchor>
  <xdr:twoCellAnchor>
    <xdr:from>
      <xdr:col>5</xdr:col>
      <xdr:colOff>152400</xdr:colOff>
      <xdr:row>26</xdr:row>
      <xdr:rowOff>0</xdr:rowOff>
    </xdr:from>
    <xdr:to>
      <xdr:col>5</xdr:col>
      <xdr:colOff>152400</xdr:colOff>
      <xdr:row>26</xdr:row>
      <xdr:rowOff>0</xdr:rowOff>
    </xdr:to>
    <xdr:sp macro="" textlink="">
      <xdr:nvSpPr>
        <xdr:cNvPr id="9" name="Line 97"/>
        <xdr:cNvSpPr>
          <a:spLocks noChangeShapeType="1"/>
        </xdr:cNvSpPr>
      </xdr:nvSpPr>
      <xdr:spPr bwMode="auto">
        <a:xfrm flipH="1" flipV="1">
          <a:off x="2771775" y="4953000"/>
          <a:ext cx="0" cy="0"/>
        </a:xfrm>
        <a:prstGeom prst="line">
          <a:avLst/>
        </a:prstGeom>
        <a:noFill/>
        <a:ln w="6350">
          <a:solidFill>
            <a:srgbClr val="000000"/>
          </a:solidFill>
          <a:round/>
          <a:headEnd/>
          <a:tailEnd/>
        </a:ln>
      </xdr:spPr>
    </xdr:sp>
    <xdr:clientData/>
  </xdr:twoCellAnchor>
  <xdr:twoCellAnchor>
    <xdr:from>
      <xdr:col>9</xdr:col>
      <xdr:colOff>419100</xdr:colOff>
      <xdr:row>26</xdr:row>
      <xdr:rowOff>0</xdr:rowOff>
    </xdr:from>
    <xdr:to>
      <xdr:col>9</xdr:col>
      <xdr:colOff>428625</xdr:colOff>
      <xdr:row>26</xdr:row>
      <xdr:rowOff>0</xdr:rowOff>
    </xdr:to>
    <xdr:sp macro="" textlink="">
      <xdr:nvSpPr>
        <xdr:cNvPr id="10" name="Line 118"/>
        <xdr:cNvSpPr>
          <a:spLocks noChangeShapeType="1"/>
        </xdr:cNvSpPr>
      </xdr:nvSpPr>
      <xdr:spPr bwMode="auto">
        <a:xfrm flipH="1">
          <a:off x="6153150" y="4953000"/>
          <a:ext cx="9525" cy="0"/>
        </a:xfrm>
        <a:prstGeom prst="line">
          <a:avLst/>
        </a:prstGeom>
        <a:noFill/>
        <a:ln w="6350">
          <a:solidFill>
            <a:srgbClr val="000000"/>
          </a:solidFill>
          <a:round/>
          <a:headEnd/>
          <a:tailEnd/>
        </a:ln>
      </xdr:spPr>
    </xdr:sp>
    <xdr:clientData/>
  </xdr:twoCellAnchor>
  <xdr:twoCellAnchor>
    <xdr:from>
      <xdr:col>0</xdr:col>
      <xdr:colOff>190500</xdr:colOff>
      <xdr:row>23</xdr:row>
      <xdr:rowOff>19050</xdr:rowOff>
    </xdr:from>
    <xdr:to>
      <xdr:col>0</xdr:col>
      <xdr:colOff>342900</xdr:colOff>
      <xdr:row>23</xdr:row>
      <xdr:rowOff>171450</xdr:rowOff>
    </xdr:to>
    <xdr:sp macro="" textlink="">
      <xdr:nvSpPr>
        <xdr:cNvPr id="11" name="Rectangle 123"/>
        <xdr:cNvSpPr>
          <a:spLocks noChangeArrowheads="1"/>
        </xdr:cNvSpPr>
      </xdr:nvSpPr>
      <xdr:spPr bwMode="auto">
        <a:xfrm>
          <a:off x="190500" y="4381500"/>
          <a:ext cx="152400" cy="152400"/>
        </a:xfrm>
        <a:prstGeom prst="rect">
          <a:avLst/>
        </a:prstGeom>
        <a:noFill/>
        <a:ln w="9525">
          <a:solidFill>
            <a:srgbClr val="000000"/>
          </a:solidFill>
          <a:miter lim="800000"/>
          <a:headEnd/>
          <a:tailEnd/>
        </a:ln>
      </xdr:spPr>
    </xdr:sp>
    <xdr:clientData/>
  </xdr:twoCellAnchor>
  <xdr:twoCellAnchor>
    <xdr:from>
      <xdr:col>10</xdr:col>
      <xdr:colOff>342900</xdr:colOff>
      <xdr:row>32</xdr:row>
      <xdr:rowOff>47625</xdr:rowOff>
    </xdr:from>
    <xdr:to>
      <xdr:col>11</xdr:col>
      <xdr:colOff>95250</xdr:colOff>
      <xdr:row>32</xdr:row>
      <xdr:rowOff>161925</xdr:rowOff>
    </xdr:to>
    <xdr:sp macro="" textlink="">
      <xdr:nvSpPr>
        <xdr:cNvPr id="12" name="Rectangle 137"/>
        <xdr:cNvSpPr>
          <a:spLocks noChangeArrowheads="1"/>
        </xdr:cNvSpPr>
      </xdr:nvSpPr>
      <xdr:spPr bwMode="auto">
        <a:xfrm>
          <a:off x="6524625" y="6153150"/>
          <a:ext cx="123825" cy="114300"/>
        </a:xfrm>
        <a:prstGeom prst="rect">
          <a:avLst/>
        </a:prstGeom>
        <a:noFill/>
        <a:ln w="9525">
          <a:solidFill>
            <a:srgbClr val="000000"/>
          </a:solidFill>
          <a:miter lim="800000"/>
          <a:headEnd/>
          <a:tailEnd/>
        </a:ln>
      </xdr:spPr>
    </xdr:sp>
    <xdr:clientData/>
  </xdr:twoCellAnchor>
  <xdr:twoCellAnchor>
    <xdr:from>
      <xdr:col>7</xdr:col>
      <xdr:colOff>104775</xdr:colOff>
      <xdr:row>35</xdr:row>
      <xdr:rowOff>47625</xdr:rowOff>
    </xdr:from>
    <xdr:to>
      <xdr:col>7</xdr:col>
      <xdr:colOff>228600</xdr:colOff>
      <xdr:row>35</xdr:row>
      <xdr:rowOff>161925</xdr:rowOff>
    </xdr:to>
    <xdr:sp macro="" textlink="">
      <xdr:nvSpPr>
        <xdr:cNvPr id="13" name="Rectangle 138"/>
        <xdr:cNvSpPr>
          <a:spLocks noChangeArrowheads="1"/>
        </xdr:cNvSpPr>
      </xdr:nvSpPr>
      <xdr:spPr bwMode="auto">
        <a:xfrm>
          <a:off x="4543425" y="6781800"/>
          <a:ext cx="123825" cy="114300"/>
        </a:xfrm>
        <a:prstGeom prst="rect">
          <a:avLst/>
        </a:prstGeom>
        <a:noFill/>
        <a:ln w="9525">
          <a:solidFill>
            <a:srgbClr val="000000"/>
          </a:solidFill>
          <a:miter lim="800000"/>
          <a:headEnd/>
          <a:tailEnd/>
        </a:ln>
      </xdr:spPr>
    </xdr:sp>
    <xdr:clientData/>
  </xdr:twoCellAnchor>
  <xdr:twoCellAnchor>
    <xdr:from>
      <xdr:col>8</xdr:col>
      <xdr:colOff>361950</xdr:colOff>
      <xdr:row>32</xdr:row>
      <xdr:rowOff>85725</xdr:rowOff>
    </xdr:from>
    <xdr:to>
      <xdr:col>8</xdr:col>
      <xdr:colOff>495300</xdr:colOff>
      <xdr:row>32</xdr:row>
      <xdr:rowOff>85725</xdr:rowOff>
    </xdr:to>
    <xdr:sp macro="" textlink="">
      <xdr:nvSpPr>
        <xdr:cNvPr id="14" name="Line 139"/>
        <xdr:cNvSpPr>
          <a:spLocks noChangeShapeType="1"/>
        </xdr:cNvSpPr>
      </xdr:nvSpPr>
      <xdr:spPr bwMode="auto">
        <a:xfrm>
          <a:off x="5400675" y="6191250"/>
          <a:ext cx="133350" cy="0"/>
        </a:xfrm>
        <a:prstGeom prst="line">
          <a:avLst/>
        </a:prstGeom>
        <a:noFill/>
        <a:ln w="3175">
          <a:solidFill>
            <a:srgbClr val="000000"/>
          </a:solidFill>
          <a:round/>
          <a:headEnd/>
          <a:tailEnd type="arrow" w="sm" len="sm"/>
        </a:ln>
      </xdr:spPr>
    </xdr:sp>
    <xdr:clientData/>
  </xdr:twoCellAnchor>
  <xdr:twoCellAnchor>
    <xdr:from>
      <xdr:col>8</xdr:col>
      <xdr:colOff>361950</xdr:colOff>
      <xdr:row>33</xdr:row>
      <xdr:rowOff>85725</xdr:rowOff>
    </xdr:from>
    <xdr:to>
      <xdr:col>8</xdr:col>
      <xdr:colOff>495300</xdr:colOff>
      <xdr:row>33</xdr:row>
      <xdr:rowOff>85725</xdr:rowOff>
    </xdr:to>
    <xdr:sp macro="" textlink="">
      <xdr:nvSpPr>
        <xdr:cNvPr id="15" name="Line 140"/>
        <xdr:cNvSpPr>
          <a:spLocks noChangeShapeType="1"/>
        </xdr:cNvSpPr>
      </xdr:nvSpPr>
      <xdr:spPr bwMode="auto">
        <a:xfrm>
          <a:off x="5400675" y="6400800"/>
          <a:ext cx="133350" cy="0"/>
        </a:xfrm>
        <a:prstGeom prst="line">
          <a:avLst/>
        </a:prstGeom>
        <a:noFill/>
        <a:ln w="3175">
          <a:solidFill>
            <a:srgbClr val="000000"/>
          </a:solidFill>
          <a:round/>
          <a:headEnd/>
          <a:tailEnd type="arrow" w="sm" len="sm"/>
        </a:ln>
      </xdr:spPr>
    </xdr:sp>
    <xdr:clientData/>
  </xdr:twoCellAnchor>
  <xdr:twoCellAnchor>
    <xdr:from>
      <xdr:col>8</xdr:col>
      <xdr:colOff>361950</xdr:colOff>
      <xdr:row>34</xdr:row>
      <xdr:rowOff>85725</xdr:rowOff>
    </xdr:from>
    <xdr:to>
      <xdr:col>8</xdr:col>
      <xdr:colOff>495300</xdr:colOff>
      <xdr:row>34</xdr:row>
      <xdr:rowOff>85725</xdr:rowOff>
    </xdr:to>
    <xdr:sp macro="" textlink="">
      <xdr:nvSpPr>
        <xdr:cNvPr id="16" name="Line 141"/>
        <xdr:cNvSpPr>
          <a:spLocks noChangeShapeType="1"/>
        </xdr:cNvSpPr>
      </xdr:nvSpPr>
      <xdr:spPr bwMode="auto">
        <a:xfrm>
          <a:off x="5400675" y="6610350"/>
          <a:ext cx="133350" cy="0"/>
        </a:xfrm>
        <a:prstGeom prst="line">
          <a:avLst/>
        </a:prstGeom>
        <a:noFill/>
        <a:ln w="3175">
          <a:solidFill>
            <a:srgbClr val="000000"/>
          </a:solidFill>
          <a:round/>
          <a:headEnd/>
          <a:tailEnd type="arrow" w="sm" len="sm"/>
        </a:ln>
      </xdr:spPr>
    </xdr:sp>
    <xdr:clientData/>
  </xdr:twoCellAnchor>
  <xdr:twoCellAnchor>
    <xdr:from>
      <xdr:col>13</xdr:col>
      <xdr:colOff>180975</xdr:colOff>
      <xdr:row>32</xdr:row>
      <xdr:rowOff>47625</xdr:rowOff>
    </xdr:from>
    <xdr:to>
      <xdr:col>13</xdr:col>
      <xdr:colOff>304800</xdr:colOff>
      <xdr:row>32</xdr:row>
      <xdr:rowOff>161925</xdr:rowOff>
    </xdr:to>
    <xdr:sp macro="" textlink="">
      <xdr:nvSpPr>
        <xdr:cNvPr id="17" name="Rectangle 142"/>
        <xdr:cNvSpPr>
          <a:spLocks noChangeArrowheads="1"/>
        </xdr:cNvSpPr>
      </xdr:nvSpPr>
      <xdr:spPr bwMode="auto">
        <a:xfrm>
          <a:off x="7258050" y="6153150"/>
          <a:ext cx="123825" cy="114300"/>
        </a:xfrm>
        <a:prstGeom prst="rect">
          <a:avLst/>
        </a:prstGeom>
        <a:noFill/>
        <a:ln w="9525">
          <a:solidFill>
            <a:srgbClr val="000000"/>
          </a:solidFill>
          <a:miter lim="800000"/>
          <a:headEnd/>
          <a:tailEnd/>
        </a:ln>
      </xdr:spPr>
    </xdr:sp>
    <xdr:clientData/>
  </xdr:twoCellAnchor>
  <xdr:twoCellAnchor>
    <xdr:from>
      <xdr:col>8</xdr:col>
      <xdr:colOff>571500</xdr:colOff>
      <xdr:row>32</xdr:row>
      <xdr:rowOff>47625</xdr:rowOff>
    </xdr:from>
    <xdr:to>
      <xdr:col>9</xdr:col>
      <xdr:colOff>0</xdr:colOff>
      <xdr:row>32</xdr:row>
      <xdr:rowOff>161925</xdr:rowOff>
    </xdr:to>
    <xdr:sp macro="" textlink="">
      <xdr:nvSpPr>
        <xdr:cNvPr id="18" name="Rectangle 143"/>
        <xdr:cNvSpPr>
          <a:spLocks noChangeArrowheads="1"/>
        </xdr:cNvSpPr>
      </xdr:nvSpPr>
      <xdr:spPr bwMode="auto">
        <a:xfrm>
          <a:off x="5610225" y="6153150"/>
          <a:ext cx="123825" cy="114300"/>
        </a:xfrm>
        <a:prstGeom prst="rect">
          <a:avLst/>
        </a:prstGeom>
        <a:noFill/>
        <a:ln w="9525">
          <a:solidFill>
            <a:srgbClr val="000000"/>
          </a:solidFill>
          <a:miter lim="800000"/>
          <a:headEnd/>
          <a:tailEnd/>
        </a:ln>
      </xdr:spPr>
    </xdr:sp>
    <xdr:clientData/>
  </xdr:twoCellAnchor>
  <xdr:twoCellAnchor>
    <xdr:from>
      <xdr:col>8</xdr:col>
      <xdr:colOff>571500</xdr:colOff>
      <xdr:row>33</xdr:row>
      <xdr:rowOff>47625</xdr:rowOff>
    </xdr:from>
    <xdr:to>
      <xdr:col>9</xdr:col>
      <xdr:colOff>0</xdr:colOff>
      <xdr:row>33</xdr:row>
      <xdr:rowOff>161925</xdr:rowOff>
    </xdr:to>
    <xdr:sp macro="" textlink="">
      <xdr:nvSpPr>
        <xdr:cNvPr id="19" name="Rectangle 144"/>
        <xdr:cNvSpPr>
          <a:spLocks noChangeArrowheads="1"/>
        </xdr:cNvSpPr>
      </xdr:nvSpPr>
      <xdr:spPr bwMode="auto">
        <a:xfrm>
          <a:off x="5610225" y="6362700"/>
          <a:ext cx="123825" cy="114300"/>
        </a:xfrm>
        <a:prstGeom prst="rect">
          <a:avLst/>
        </a:prstGeom>
        <a:noFill/>
        <a:ln w="9525">
          <a:solidFill>
            <a:srgbClr val="000000"/>
          </a:solidFill>
          <a:miter lim="800000"/>
          <a:headEnd/>
          <a:tailEnd/>
        </a:ln>
      </xdr:spPr>
    </xdr:sp>
    <xdr:clientData/>
  </xdr:twoCellAnchor>
  <xdr:twoCellAnchor>
    <xdr:from>
      <xdr:col>8</xdr:col>
      <xdr:colOff>571500</xdr:colOff>
      <xdr:row>34</xdr:row>
      <xdr:rowOff>57150</xdr:rowOff>
    </xdr:from>
    <xdr:to>
      <xdr:col>9</xdr:col>
      <xdr:colOff>0</xdr:colOff>
      <xdr:row>34</xdr:row>
      <xdr:rowOff>171450</xdr:rowOff>
    </xdr:to>
    <xdr:sp macro="" textlink="">
      <xdr:nvSpPr>
        <xdr:cNvPr id="20" name="Rectangle 145"/>
        <xdr:cNvSpPr>
          <a:spLocks noChangeArrowheads="1"/>
        </xdr:cNvSpPr>
      </xdr:nvSpPr>
      <xdr:spPr bwMode="auto">
        <a:xfrm>
          <a:off x="5610225" y="6581775"/>
          <a:ext cx="123825" cy="114300"/>
        </a:xfrm>
        <a:prstGeom prst="rect">
          <a:avLst/>
        </a:prstGeom>
        <a:noFill/>
        <a:ln w="9525">
          <a:solidFill>
            <a:srgbClr val="000000"/>
          </a:solidFill>
          <a:miter lim="800000"/>
          <a:headEnd/>
          <a:tailEnd/>
        </a:ln>
      </xdr:spPr>
    </xdr:sp>
    <xdr:clientData/>
  </xdr:twoCellAnchor>
  <xdr:twoCellAnchor>
    <xdr:from>
      <xdr:col>10</xdr:col>
      <xdr:colOff>219075</xdr:colOff>
      <xdr:row>34</xdr:row>
      <xdr:rowOff>57150</xdr:rowOff>
    </xdr:from>
    <xdr:to>
      <xdr:col>10</xdr:col>
      <xdr:colOff>342900</xdr:colOff>
      <xdr:row>34</xdr:row>
      <xdr:rowOff>171450</xdr:rowOff>
    </xdr:to>
    <xdr:sp macro="" textlink="">
      <xdr:nvSpPr>
        <xdr:cNvPr id="21" name="Rectangle 146"/>
        <xdr:cNvSpPr>
          <a:spLocks noChangeArrowheads="1"/>
        </xdr:cNvSpPr>
      </xdr:nvSpPr>
      <xdr:spPr bwMode="auto">
        <a:xfrm>
          <a:off x="6400800" y="6581775"/>
          <a:ext cx="123825" cy="114300"/>
        </a:xfrm>
        <a:prstGeom prst="rect">
          <a:avLst/>
        </a:prstGeom>
        <a:noFill/>
        <a:ln w="9525">
          <a:solidFill>
            <a:srgbClr val="000000"/>
          </a:solidFill>
          <a:miter lim="800000"/>
          <a:headEnd/>
          <a:tailEnd/>
        </a:ln>
      </xdr:spPr>
    </xdr:sp>
    <xdr:clientData/>
  </xdr:twoCellAnchor>
  <xdr:twoCellAnchor>
    <xdr:from>
      <xdr:col>8</xdr:col>
      <xdr:colOff>647700</xdr:colOff>
      <xdr:row>35</xdr:row>
      <xdr:rowOff>47625</xdr:rowOff>
    </xdr:from>
    <xdr:to>
      <xdr:col>9</xdr:col>
      <xdr:colOff>76200</xdr:colOff>
      <xdr:row>35</xdr:row>
      <xdr:rowOff>161925</xdr:rowOff>
    </xdr:to>
    <xdr:sp macro="" textlink="">
      <xdr:nvSpPr>
        <xdr:cNvPr id="22" name="Rectangle 147"/>
        <xdr:cNvSpPr>
          <a:spLocks noChangeArrowheads="1"/>
        </xdr:cNvSpPr>
      </xdr:nvSpPr>
      <xdr:spPr bwMode="auto">
        <a:xfrm>
          <a:off x="5686425" y="6781800"/>
          <a:ext cx="123825" cy="114300"/>
        </a:xfrm>
        <a:prstGeom prst="rect">
          <a:avLst/>
        </a:prstGeom>
        <a:noFill/>
        <a:ln w="9525">
          <a:solidFill>
            <a:srgbClr val="000000"/>
          </a:solidFill>
          <a:miter lim="800000"/>
          <a:headEnd/>
          <a:tailEnd/>
        </a:ln>
      </xdr:spPr>
    </xdr:sp>
    <xdr:clientData/>
  </xdr:twoCellAnchor>
  <xdr:twoCellAnchor>
    <xdr:from>
      <xdr:col>1</xdr:col>
      <xdr:colOff>95250</xdr:colOff>
      <xdr:row>23</xdr:row>
      <xdr:rowOff>28575</xdr:rowOff>
    </xdr:from>
    <xdr:to>
      <xdr:col>1</xdr:col>
      <xdr:colOff>247650</xdr:colOff>
      <xdr:row>23</xdr:row>
      <xdr:rowOff>180975</xdr:rowOff>
    </xdr:to>
    <xdr:sp macro="" textlink="">
      <xdr:nvSpPr>
        <xdr:cNvPr id="23" name="Rectangle 183"/>
        <xdr:cNvSpPr>
          <a:spLocks noChangeArrowheads="1"/>
        </xdr:cNvSpPr>
      </xdr:nvSpPr>
      <xdr:spPr bwMode="auto">
        <a:xfrm>
          <a:off x="695325" y="4391025"/>
          <a:ext cx="152400" cy="152400"/>
        </a:xfrm>
        <a:prstGeom prst="rect">
          <a:avLst/>
        </a:prstGeom>
        <a:noFill/>
        <a:ln w="9525">
          <a:solidFill>
            <a:srgbClr val="000000"/>
          </a:solidFill>
          <a:miter lim="800000"/>
          <a:headEnd/>
          <a:tailEnd/>
        </a:ln>
      </xdr:spPr>
    </xdr:sp>
    <xdr:clientData/>
  </xdr:twoCellAnchor>
  <xdr:twoCellAnchor>
    <xdr:from>
      <xdr:col>5</xdr:col>
      <xdr:colOff>142875</xdr:colOff>
      <xdr:row>23</xdr:row>
      <xdr:rowOff>19050</xdr:rowOff>
    </xdr:from>
    <xdr:to>
      <xdr:col>6</xdr:col>
      <xdr:colOff>47625</xdr:colOff>
      <xdr:row>23</xdr:row>
      <xdr:rowOff>171450</xdr:rowOff>
    </xdr:to>
    <xdr:sp macro="" textlink="">
      <xdr:nvSpPr>
        <xdr:cNvPr id="24" name="Rectangle 184"/>
        <xdr:cNvSpPr>
          <a:spLocks noChangeArrowheads="1"/>
        </xdr:cNvSpPr>
      </xdr:nvSpPr>
      <xdr:spPr bwMode="auto">
        <a:xfrm>
          <a:off x="2762250" y="4381500"/>
          <a:ext cx="152400" cy="152400"/>
        </a:xfrm>
        <a:prstGeom prst="rect">
          <a:avLst/>
        </a:prstGeom>
        <a:noFill/>
        <a:ln w="9525">
          <a:solidFill>
            <a:srgbClr val="000000"/>
          </a:solidFill>
          <a:miter lim="800000"/>
          <a:headEnd/>
          <a:tailEnd/>
        </a:ln>
      </xdr:spPr>
    </xdr:sp>
    <xdr:clientData/>
  </xdr:twoCellAnchor>
  <xdr:twoCellAnchor>
    <xdr:from>
      <xdr:col>6</xdr:col>
      <xdr:colOff>457200</xdr:colOff>
      <xdr:row>23</xdr:row>
      <xdr:rowOff>19050</xdr:rowOff>
    </xdr:from>
    <xdr:to>
      <xdr:col>6</xdr:col>
      <xdr:colOff>609600</xdr:colOff>
      <xdr:row>23</xdr:row>
      <xdr:rowOff>171450</xdr:rowOff>
    </xdr:to>
    <xdr:sp macro="" textlink="">
      <xdr:nvSpPr>
        <xdr:cNvPr id="25" name="Rectangle 185"/>
        <xdr:cNvSpPr>
          <a:spLocks noChangeArrowheads="1"/>
        </xdr:cNvSpPr>
      </xdr:nvSpPr>
      <xdr:spPr bwMode="auto">
        <a:xfrm>
          <a:off x="3324225" y="4381500"/>
          <a:ext cx="152400" cy="152400"/>
        </a:xfrm>
        <a:prstGeom prst="rect">
          <a:avLst/>
        </a:prstGeom>
        <a:noFill/>
        <a:ln w="9525">
          <a:solidFill>
            <a:srgbClr val="000000"/>
          </a:solidFill>
          <a:miter lim="800000"/>
          <a:headEnd/>
          <a:tailEnd/>
        </a:ln>
      </xdr:spPr>
    </xdr:sp>
    <xdr:clientData/>
  </xdr:twoCellAnchor>
  <xdr:twoCellAnchor>
    <xdr:from>
      <xdr:col>5</xdr:col>
      <xdr:colOff>142875</xdr:colOff>
      <xdr:row>25</xdr:row>
      <xdr:rowOff>28575</xdr:rowOff>
    </xdr:from>
    <xdr:to>
      <xdr:col>6</xdr:col>
      <xdr:colOff>47625</xdr:colOff>
      <xdr:row>25</xdr:row>
      <xdr:rowOff>180975</xdr:rowOff>
    </xdr:to>
    <xdr:sp macro="" textlink="">
      <xdr:nvSpPr>
        <xdr:cNvPr id="26" name="Rectangle 186"/>
        <xdr:cNvSpPr>
          <a:spLocks noChangeArrowheads="1"/>
        </xdr:cNvSpPr>
      </xdr:nvSpPr>
      <xdr:spPr bwMode="auto">
        <a:xfrm>
          <a:off x="2762250" y="4772025"/>
          <a:ext cx="152400" cy="152400"/>
        </a:xfrm>
        <a:prstGeom prst="rect">
          <a:avLst/>
        </a:prstGeom>
        <a:noFill/>
        <a:ln w="9525">
          <a:solidFill>
            <a:srgbClr val="000000"/>
          </a:solidFill>
          <a:miter lim="800000"/>
          <a:headEnd/>
          <a:tailEnd/>
        </a:ln>
      </xdr:spPr>
    </xdr:sp>
    <xdr:clientData/>
  </xdr:twoCellAnchor>
  <xdr:twoCellAnchor>
    <xdr:from>
      <xdr:col>6</xdr:col>
      <xdr:colOff>457200</xdr:colOff>
      <xdr:row>25</xdr:row>
      <xdr:rowOff>28575</xdr:rowOff>
    </xdr:from>
    <xdr:to>
      <xdr:col>6</xdr:col>
      <xdr:colOff>609600</xdr:colOff>
      <xdr:row>25</xdr:row>
      <xdr:rowOff>180975</xdr:rowOff>
    </xdr:to>
    <xdr:sp macro="" textlink="">
      <xdr:nvSpPr>
        <xdr:cNvPr id="27" name="Rectangle 187"/>
        <xdr:cNvSpPr>
          <a:spLocks noChangeArrowheads="1"/>
        </xdr:cNvSpPr>
      </xdr:nvSpPr>
      <xdr:spPr bwMode="auto">
        <a:xfrm>
          <a:off x="3324225" y="4772025"/>
          <a:ext cx="152400" cy="152400"/>
        </a:xfrm>
        <a:prstGeom prst="rect">
          <a:avLst/>
        </a:prstGeom>
        <a:noFill/>
        <a:ln w="9525">
          <a:solidFill>
            <a:srgbClr val="000000"/>
          </a:solidFill>
          <a:miter lim="800000"/>
          <a:headEnd/>
          <a:tailEnd/>
        </a:ln>
      </xdr:spPr>
    </xdr:sp>
    <xdr:clientData/>
  </xdr:twoCellAnchor>
  <xdr:twoCellAnchor>
    <xdr:from>
      <xdr:col>2</xdr:col>
      <xdr:colOff>333375</xdr:colOff>
      <xdr:row>26</xdr:row>
      <xdr:rowOff>47625</xdr:rowOff>
    </xdr:from>
    <xdr:to>
      <xdr:col>3</xdr:col>
      <xdr:colOff>66675</xdr:colOff>
      <xdr:row>26</xdr:row>
      <xdr:rowOff>200025</xdr:rowOff>
    </xdr:to>
    <xdr:sp macro="" textlink="">
      <xdr:nvSpPr>
        <xdr:cNvPr id="28" name="Rectangle 188"/>
        <xdr:cNvSpPr>
          <a:spLocks noChangeArrowheads="1"/>
        </xdr:cNvSpPr>
      </xdr:nvSpPr>
      <xdr:spPr bwMode="auto">
        <a:xfrm>
          <a:off x="1781175" y="5000625"/>
          <a:ext cx="152400" cy="152400"/>
        </a:xfrm>
        <a:prstGeom prst="rect">
          <a:avLst/>
        </a:prstGeom>
        <a:noFill/>
        <a:ln w="9525">
          <a:solidFill>
            <a:srgbClr val="000000"/>
          </a:solidFill>
          <a:miter lim="800000"/>
          <a:headEnd/>
          <a:tailEnd/>
        </a:ln>
      </xdr:spPr>
    </xdr:sp>
    <xdr:clientData/>
  </xdr:twoCellAnchor>
  <xdr:twoCellAnchor>
    <xdr:from>
      <xdr:col>4</xdr:col>
      <xdr:colOff>104775</xdr:colOff>
      <xdr:row>26</xdr:row>
      <xdr:rowOff>47625</xdr:rowOff>
    </xdr:from>
    <xdr:to>
      <xdr:col>4</xdr:col>
      <xdr:colOff>257175</xdr:colOff>
      <xdr:row>26</xdr:row>
      <xdr:rowOff>200025</xdr:rowOff>
    </xdr:to>
    <xdr:sp macro="" textlink="">
      <xdr:nvSpPr>
        <xdr:cNvPr id="29" name="Rectangle 189"/>
        <xdr:cNvSpPr>
          <a:spLocks noChangeArrowheads="1"/>
        </xdr:cNvSpPr>
      </xdr:nvSpPr>
      <xdr:spPr bwMode="auto">
        <a:xfrm>
          <a:off x="2352675" y="5000625"/>
          <a:ext cx="152400" cy="152400"/>
        </a:xfrm>
        <a:prstGeom prst="rect">
          <a:avLst/>
        </a:prstGeom>
        <a:noFill/>
        <a:ln w="9525">
          <a:solidFill>
            <a:srgbClr val="000000"/>
          </a:solidFill>
          <a:miter lim="800000"/>
          <a:headEnd/>
          <a:tailEnd/>
        </a:ln>
      </xdr:spPr>
    </xdr:sp>
    <xdr:clientData/>
  </xdr:twoCellAnchor>
  <xdr:twoCellAnchor>
    <xdr:from>
      <xdr:col>9</xdr:col>
      <xdr:colOff>66675</xdr:colOff>
      <xdr:row>25</xdr:row>
      <xdr:rowOff>28575</xdr:rowOff>
    </xdr:from>
    <xdr:to>
      <xdr:col>9</xdr:col>
      <xdr:colOff>219075</xdr:colOff>
      <xdr:row>25</xdr:row>
      <xdr:rowOff>180975</xdr:rowOff>
    </xdr:to>
    <xdr:sp macro="" textlink="">
      <xdr:nvSpPr>
        <xdr:cNvPr id="30" name="Rectangle 190"/>
        <xdr:cNvSpPr>
          <a:spLocks noChangeArrowheads="1"/>
        </xdr:cNvSpPr>
      </xdr:nvSpPr>
      <xdr:spPr bwMode="auto">
        <a:xfrm>
          <a:off x="5800725" y="4772025"/>
          <a:ext cx="152400" cy="152400"/>
        </a:xfrm>
        <a:prstGeom prst="rect">
          <a:avLst/>
        </a:prstGeom>
        <a:noFill/>
        <a:ln w="9525">
          <a:solidFill>
            <a:srgbClr val="000000"/>
          </a:solidFill>
          <a:miter lim="800000"/>
          <a:headEnd/>
          <a:tailEnd/>
        </a:ln>
      </xdr:spPr>
    </xdr:sp>
    <xdr:clientData/>
  </xdr:twoCellAnchor>
  <xdr:twoCellAnchor>
    <xdr:from>
      <xdr:col>10</xdr:col>
      <xdr:colOff>190500</xdr:colOff>
      <xdr:row>25</xdr:row>
      <xdr:rowOff>28575</xdr:rowOff>
    </xdr:from>
    <xdr:to>
      <xdr:col>10</xdr:col>
      <xdr:colOff>342900</xdr:colOff>
      <xdr:row>25</xdr:row>
      <xdr:rowOff>180975</xdr:rowOff>
    </xdr:to>
    <xdr:sp macro="" textlink="">
      <xdr:nvSpPr>
        <xdr:cNvPr id="31" name="Rectangle 191"/>
        <xdr:cNvSpPr>
          <a:spLocks noChangeArrowheads="1"/>
        </xdr:cNvSpPr>
      </xdr:nvSpPr>
      <xdr:spPr bwMode="auto">
        <a:xfrm>
          <a:off x="6372225" y="4772025"/>
          <a:ext cx="152400" cy="152400"/>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25</xdr:row>
      <xdr:rowOff>95250</xdr:rowOff>
    </xdr:from>
    <xdr:to>
      <xdr:col>19</xdr:col>
      <xdr:colOff>866775</xdr:colOff>
      <xdr:row>30</xdr:row>
      <xdr:rowOff>114300</xdr:rowOff>
    </xdr:to>
    <xdr:sp macro="" textlink="">
      <xdr:nvSpPr>
        <xdr:cNvPr id="1041" name="Text Box 17"/>
        <xdr:cNvSpPr txBox="1">
          <a:spLocks noChangeArrowheads="1"/>
        </xdr:cNvSpPr>
      </xdr:nvSpPr>
      <xdr:spPr bwMode="auto">
        <a:xfrm>
          <a:off x="123825" y="3067050"/>
          <a:ext cx="8953500" cy="1152525"/>
        </a:xfrm>
        <a:prstGeom prst="rect">
          <a:avLst/>
        </a:prstGeom>
        <a:solidFill>
          <a:srgbClr val="CCFFCC"/>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Names and salaries</a:t>
          </a:r>
          <a:r>
            <a:rPr lang="en-US" sz="1200" b="0" i="0" u="none" strike="noStrike" baseline="0">
              <a:solidFill>
                <a:srgbClr val="000000"/>
              </a:solidFill>
              <a:latin typeface="Arial"/>
              <a:cs typeface="Arial"/>
            </a:rPr>
            <a:t> from this page will automatically fill into the </a:t>
          </a:r>
          <a:r>
            <a:rPr lang="en-US" sz="1200" b="1" i="0" u="none" strike="noStrike" baseline="0">
              <a:solidFill>
                <a:srgbClr val="000000"/>
              </a:solidFill>
              <a:latin typeface="Arial"/>
              <a:cs typeface="Arial"/>
            </a:rPr>
            <a:t>Form Page 4</a:t>
          </a:r>
          <a:r>
            <a:rPr lang="en-US" sz="1200" b="0" i="0" u="none" strike="noStrike" baseline="0">
              <a:solidFill>
                <a:srgbClr val="000000"/>
              </a:solidFill>
              <a:latin typeface="Arial"/>
              <a:cs typeface="Arial"/>
            </a:rPr>
            <a:t> as long as you have entered data in the green boxes in Personnel below.</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There is only enough room on Form Page 4 for </a:t>
          </a:r>
          <a:r>
            <a:rPr lang="en-US" sz="1200" b="1" i="0" u="none" strike="noStrike" baseline="0">
              <a:solidFill>
                <a:srgbClr val="000000"/>
              </a:solidFill>
              <a:latin typeface="Arial"/>
              <a:cs typeface="Arial"/>
            </a:rPr>
            <a:t>Nine names</a:t>
          </a:r>
          <a:r>
            <a:rPr lang="en-US" sz="1200" b="0" i="0" u="none" strike="noStrike" baseline="0">
              <a:solidFill>
                <a:srgbClr val="000000"/>
              </a:solidFill>
              <a:latin typeface="Arial"/>
              <a:cs typeface="Arial"/>
            </a:rPr>
            <a:t>.  If you have more, you will need to consolidate some of the categories (i.e. 3 Grad Students).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228600</xdr:colOff>
      <xdr:row>30</xdr:row>
      <xdr:rowOff>85725</xdr:rowOff>
    </xdr:from>
    <xdr:to>
      <xdr:col>8</xdr:col>
      <xdr:colOff>638175</xdr:colOff>
      <xdr:row>30</xdr:row>
      <xdr:rowOff>85725</xdr:rowOff>
    </xdr:to>
    <xdr:sp macro="" textlink="">
      <xdr:nvSpPr>
        <xdr:cNvPr id="5121" name="Line 1"/>
        <xdr:cNvSpPr>
          <a:spLocks noChangeShapeType="1"/>
        </xdr:cNvSpPr>
      </xdr:nvSpPr>
      <xdr:spPr bwMode="auto">
        <a:xfrm>
          <a:off x="3714750" y="5334000"/>
          <a:ext cx="1057275" cy="0"/>
        </a:xfrm>
        <a:prstGeom prst="line">
          <a:avLst/>
        </a:prstGeom>
        <a:noFill/>
        <a:ln w="9525">
          <a:solidFill>
            <a:srgbClr val="000000"/>
          </a:solidFill>
          <a:round/>
          <a:headEnd/>
          <a:tailEnd type="triangle" w="med" len="med"/>
        </a:ln>
      </xdr:spPr>
    </xdr:sp>
    <xdr:clientData/>
  </xdr:twoCellAnchor>
  <xdr:twoCellAnchor>
    <xdr:from>
      <xdr:col>8</xdr:col>
      <xdr:colOff>76200</xdr:colOff>
      <xdr:row>63</xdr:row>
      <xdr:rowOff>133350</xdr:rowOff>
    </xdr:from>
    <xdr:to>
      <xdr:col>8</xdr:col>
      <xdr:colOff>409575</xdr:colOff>
      <xdr:row>63</xdr:row>
      <xdr:rowOff>133350</xdr:rowOff>
    </xdr:to>
    <xdr:sp macro="" textlink="">
      <xdr:nvSpPr>
        <xdr:cNvPr id="5123" name="Line 3"/>
        <xdr:cNvSpPr>
          <a:spLocks noChangeShapeType="1"/>
        </xdr:cNvSpPr>
      </xdr:nvSpPr>
      <xdr:spPr bwMode="auto">
        <a:xfrm>
          <a:off x="4210050" y="11277600"/>
          <a:ext cx="33337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276225</xdr:colOff>
      <xdr:row>58</xdr:row>
      <xdr:rowOff>133350</xdr:rowOff>
    </xdr:from>
    <xdr:to>
      <xdr:col>8</xdr:col>
      <xdr:colOff>781050</xdr:colOff>
      <xdr:row>58</xdr:row>
      <xdr:rowOff>133350</xdr:rowOff>
    </xdr:to>
    <xdr:sp macro="" textlink="">
      <xdr:nvSpPr>
        <xdr:cNvPr id="6147" name="Line 3"/>
        <xdr:cNvSpPr>
          <a:spLocks noChangeShapeType="1"/>
        </xdr:cNvSpPr>
      </xdr:nvSpPr>
      <xdr:spPr bwMode="auto">
        <a:xfrm>
          <a:off x="3686175" y="10715625"/>
          <a:ext cx="504825" cy="0"/>
        </a:xfrm>
        <a:prstGeom prst="line">
          <a:avLst/>
        </a:prstGeom>
        <a:noFill/>
        <a:ln w="9525">
          <a:solidFill>
            <a:srgbClr val="000000"/>
          </a:solidFill>
          <a:round/>
          <a:headEnd/>
          <a:tailEnd/>
        </a:ln>
      </xdr:spPr>
    </xdr:sp>
    <xdr:clientData/>
  </xdr:twoCellAnchor>
  <xdr:twoCellAnchor editAs="oneCell">
    <xdr:from>
      <xdr:col>0</xdr:col>
      <xdr:colOff>38100</xdr:colOff>
      <xdr:row>60</xdr:row>
      <xdr:rowOff>9525</xdr:rowOff>
    </xdr:from>
    <xdr:to>
      <xdr:col>0</xdr:col>
      <xdr:colOff>171450</xdr:colOff>
      <xdr:row>61</xdr:row>
      <xdr:rowOff>9525</xdr:rowOff>
    </xdr:to>
    <xdr:pic>
      <xdr:nvPicPr>
        <xdr:cNvPr id="6148"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38100" y="10896600"/>
          <a:ext cx="133350" cy="142875"/>
        </a:xfrm>
        <a:prstGeom prst="rect">
          <a:avLst/>
        </a:prstGeom>
        <a:noFill/>
        <a:ln w="1">
          <a:noFill/>
          <a:miter lim="800000"/>
          <a:headEnd/>
          <a:tailEnd/>
        </a:ln>
        <a:effectLst/>
      </xdr:spPr>
    </xdr:pic>
    <xdr:clientData/>
  </xdr:twoCellAnchor>
  <xdr:twoCellAnchor editAs="oneCell">
    <xdr:from>
      <xdr:col>11</xdr:col>
      <xdr:colOff>904875</xdr:colOff>
      <xdr:row>60</xdr:row>
      <xdr:rowOff>9525</xdr:rowOff>
    </xdr:from>
    <xdr:to>
      <xdr:col>11</xdr:col>
      <xdr:colOff>1028700</xdr:colOff>
      <xdr:row>61</xdr:row>
      <xdr:rowOff>9525</xdr:rowOff>
    </xdr:to>
    <xdr:pic>
      <xdr:nvPicPr>
        <xdr:cNvPr id="6149"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7543800" y="10896600"/>
          <a:ext cx="123825" cy="142875"/>
        </a:xfrm>
        <a:prstGeom prst="rect">
          <a:avLst/>
        </a:prstGeom>
        <a:noFill/>
        <a:ln w="1">
          <a:noFill/>
          <a:miter lim="800000"/>
          <a:headEnd/>
          <a:tailEnd/>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29</xdr:row>
      <xdr:rowOff>0</xdr:rowOff>
    </xdr:from>
    <xdr:to>
      <xdr:col>3</xdr:col>
      <xdr:colOff>0</xdr:colOff>
      <xdr:row>29</xdr:row>
      <xdr:rowOff>0</xdr:rowOff>
    </xdr:to>
    <xdr:sp macro="" textlink="">
      <xdr:nvSpPr>
        <xdr:cNvPr id="2" name="Rectangle 1"/>
        <xdr:cNvSpPr>
          <a:spLocks noChangeArrowheads="1"/>
        </xdr:cNvSpPr>
      </xdr:nvSpPr>
      <xdr:spPr bwMode="auto">
        <a:xfrm>
          <a:off x="1943100" y="6276975"/>
          <a:ext cx="0" cy="0"/>
        </a:xfrm>
        <a:prstGeom prst="rect">
          <a:avLst/>
        </a:prstGeom>
        <a:noFill/>
        <a:ln w="9525">
          <a:solidFill>
            <a:srgbClr val="000000"/>
          </a:solidFill>
          <a:miter lim="800000"/>
          <a:headEnd/>
          <a:tailEnd/>
        </a:ln>
      </xdr:spPr>
    </xdr:sp>
    <xdr:clientData/>
  </xdr:twoCellAnchor>
  <xdr:twoCellAnchor>
    <xdr:from>
      <xdr:col>10</xdr:col>
      <xdr:colOff>981075</xdr:colOff>
      <xdr:row>9</xdr:row>
      <xdr:rowOff>152400</xdr:rowOff>
    </xdr:from>
    <xdr:to>
      <xdr:col>10</xdr:col>
      <xdr:colOff>571500</xdr:colOff>
      <xdr:row>9</xdr:row>
      <xdr:rowOff>152400</xdr:rowOff>
    </xdr:to>
    <xdr:sp macro="" textlink="">
      <xdr:nvSpPr>
        <xdr:cNvPr id="3" name="Line 2"/>
        <xdr:cNvSpPr>
          <a:spLocks noChangeShapeType="1"/>
        </xdr:cNvSpPr>
      </xdr:nvSpPr>
      <xdr:spPr bwMode="auto">
        <a:xfrm flipV="1">
          <a:off x="6886575" y="2238375"/>
          <a:ext cx="0" cy="0"/>
        </a:xfrm>
        <a:prstGeom prst="line">
          <a:avLst/>
        </a:prstGeom>
        <a:noFill/>
        <a:ln w="9525">
          <a:solidFill>
            <a:srgbClr val="000000"/>
          </a:solidFill>
          <a:round/>
          <a:headEnd/>
          <a:tailEnd/>
        </a:ln>
      </xdr:spPr>
    </xdr:sp>
    <xdr:clientData/>
  </xdr:twoCellAnchor>
  <xdr:twoCellAnchor>
    <xdr:from>
      <xdr:col>0</xdr:col>
      <xdr:colOff>104775</xdr:colOff>
      <xdr:row>6</xdr:row>
      <xdr:rowOff>104775</xdr:rowOff>
    </xdr:from>
    <xdr:to>
      <xdr:col>1</xdr:col>
      <xdr:colOff>0</xdr:colOff>
      <xdr:row>7</xdr:row>
      <xdr:rowOff>0</xdr:rowOff>
    </xdr:to>
    <xdr:sp macro="" textlink="">
      <xdr:nvSpPr>
        <xdr:cNvPr id="4" name="Rectangle 4"/>
        <xdr:cNvSpPr>
          <a:spLocks noChangeArrowheads="1"/>
        </xdr:cNvSpPr>
      </xdr:nvSpPr>
      <xdr:spPr bwMode="auto">
        <a:xfrm>
          <a:off x="104775" y="1609725"/>
          <a:ext cx="190500" cy="161925"/>
        </a:xfrm>
        <a:prstGeom prst="rect">
          <a:avLst/>
        </a:prstGeom>
        <a:noFill/>
        <a:ln w="9525">
          <a:solidFill>
            <a:srgbClr val="000000"/>
          </a:solidFill>
          <a:miter lim="800000"/>
          <a:headEnd/>
          <a:tailEnd/>
        </a:ln>
      </xdr:spPr>
    </xdr:sp>
    <xdr:clientData/>
  </xdr:twoCellAnchor>
  <xdr:twoCellAnchor>
    <xdr:from>
      <xdr:col>0</xdr:col>
      <xdr:colOff>104775</xdr:colOff>
      <xdr:row>9</xdr:row>
      <xdr:rowOff>76200</xdr:rowOff>
    </xdr:from>
    <xdr:to>
      <xdr:col>1</xdr:col>
      <xdr:colOff>0</xdr:colOff>
      <xdr:row>9</xdr:row>
      <xdr:rowOff>238125</xdr:rowOff>
    </xdr:to>
    <xdr:sp macro="" textlink="">
      <xdr:nvSpPr>
        <xdr:cNvPr id="5" name="Rectangle 7"/>
        <xdr:cNvSpPr>
          <a:spLocks noChangeArrowheads="1"/>
        </xdr:cNvSpPr>
      </xdr:nvSpPr>
      <xdr:spPr bwMode="auto">
        <a:xfrm>
          <a:off x="104775" y="2162175"/>
          <a:ext cx="190500" cy="161925"/>
        </a:xfrm>
        <a:prstGeom prst="rect">
          <a:avLst/>
        </a:prstGeom>
        <a:noFill/>
        <a:ln w="9525">
          <a:solidFill>
            <a:srgbClr val="000000"/>
          </a:solidFill>
          <a:miter lim="800000"/>
          <a:headEnd/>
          <a:tailEnd/>
        </a:ln>
      </xdr:spPr>
    </xdr:sp>
    <xdr:clientData/>
  </xdr:twoCellAnchor>
  <xdr:twoCellAnchor>
    <xdr:from>
      <xdr:col>0</xdr:col>
      <xdr:colOff>104775</xdr:colOff>
      <xdr:row>11</xdr:row>
      <xdr:rowOff>57150</xdr:rowOff>
    </xdr:from>
    <xdr:to>
      <xdr:col>1</xdr:col>
      <xdr:colOff>0</xdr:colOff>
      <xdr:row>11</xdr:row>
      <xdr:rowOff>219075</xdr:rowOff>
    </xdr:to>
    <xdr:sp macro="" textlink="">
      <xdr:nvSpPr>
        <xdr:cNvPr id="6" name="Rectangle 8"/>
        <xdr:cNvSpPr>
          <a:spLocks noChangeArrowheads="1"/>
        </xdr:cNvSpPr>
      </xdr:nvSpPr>
      <xdr:spPr bwMode="auto">
        <a:xfrm>
          <a:off x="104775" y="2638425"/>
          <a:ext cx="190500" cy="161925"/>
        </a:xfrm>
        <a:prstGeom prst="rect">
          <a:avLst/>
        </a:prstGeom>
        <a:noFill/>
        <a:ln w="9525">
          <a:solidFill>
            <a:srgbClr val="000000"/>
          </a:solidFill>
          <a:miter lim="800000"/>
          <a:headEnd/>
          <a:tailEnd/>
        </a:ln>
      </xdr:spPr>
    </xdr:sp>
    <xdr:clientData/>
  </xdr:twoCellAnchor>
  <xdr:twoCellAnchor>
    <xdr:from>
      <xdr:col>3</xdr:col>
      <xdr:colOff>381000</xdr:colOff>
      <xdr:row>20</xdr:row>
      <xdr:rowOff>9525</xdr:rowOff>
    </xdr:from>
    <xdr:to>
      <xdr:col>3</xdr:col>
      <xdr:colOff>381000</xdr:colOff>
      <xdr:row>24</xdr:row>
      <xdr:rowOff>66675</xdr:rowOff>
    </xdr:to>
    <xdr:sp macro="" textlink="">
      <xdr:nvSpPr>
        <xdr:cNvPr id="7" name="Line 9"/>
        <xdr:cNvSpPr>
          <a:spLocks noChangeShapeType="1"/>
        </xdr:cNvSpPr>
      </xdr:nvSpPr>
      <xdr:spPr bwMode="auto">
        <a:xfrm>
          <a:off x="2324100" y="4857750"/>
          <a:ext cx="0" cy="733425"/>
        </a:xfrm>
        <a:prstGeom prst="line">
          <a:avLst/>
        </a:prstGeom>
        <a:noFill/>
        <a:ln w="9525">
          <a:solidFill>
            <a:srgbClr val="000000"/>
          </a:solidFill>
          <a:round/>
          <a:headEnd/>
          <a:tailEnd/>
        </a:ln>
      </xdr:spPr>
    </xdr:sp>
    <xdr:clientData/>
  </xdr:twoCellAnchor>
  <xdr:twoCellAnchor>
    <xdr:from>
      <xdr:col>8</xdr:col>
      <xdr:colOff>238125</xdr:colOff>
      <xdr:row>20</xdr:row>
      <xdr:rowOff>9525</xdr:rowOff>
    </xdr:from>
    <xdr:to>
      <xdr:col>8</xdr:col>
      <xdr:colOff>238125</xdr:colOff>
      <xdr:row>25</xdr:row>
      <xdr:rowOff>0</xdr:rowOff>
    </xdr:to>
    <xdr:sp macro="" textlink="">
      <xdr:nvSpPr>
        <xdr:cNvPr id="8" name="Line 10"/>
        <xdr:cNvSpPr>
          <a:spLocks noChangeShapeType="1"/>
        </xdr:cNvSpPr>
      </xdr:nvSpPr>
      <xdr:spPr bwMode="auto">
        <a:xfrm>
          <a:off x="5819775" y="4857750"/>
          <a:ext cx="0" cy="733425"/>
        </a:xfrm>
        <a:prstGeom prst="line">
          <a:avLst/>
        </a:prstGeom>
        <a:noFill/>
        <a:ln w="9525">
          <a:solidFill>
            <a:srgbClr val="000000"/>
          </a:solidFill>
          <a:round/>
          <a:headEnd/>
          <a:tailEnd/>
        </a:ln>
      </xdr:spPr>
    </xdr:sp>
    <xdr:clientData/>
  </xdr:twoCellAnchor>
  <xdr:twoCellAnchor>
    <xdr:from>
      <xdr:col>5</xdr:col>
      <xdr:colOff>95250</xdr:colOff>
      <xdr:row>15</xdr:row>
      <xdr:rowOff>57150</xdr:rowOff>
    </xdr:from>
    <xdr:to>
      <xdr:col>5</xdr:col>
      <xdr:colOff>257175</xdr:colOff>
      <xdr:row>15</xdr:row>
      <xdr:rowOff>228600</xdr:rowOff>
    </xdr:to>
    <xdr:sp macro="" textlink="">
      <xdr:nvSpPr>
        <xdr:cNvPr id="9" name="Rectangle 11"/>
        <xdr:cNvSpPr>
          <a:spLocks noChangeArrowheads="1"/>
        </xdr:cNvSpPr>
      </xdr:nvSpPr>
      <xdr:spPr bwMode="auto">
        <a:xfrm>
          <a:off x="3810000" y="3800475"/>
          <a:ext cx="161925" cy="171450"/>
        </a:xfrm>
        <a:prstGeom prst="rect">
          <a:avLst/>
        </a:prstGeom>
        <a:noFill/>
        <a:ln w="9525">
          <a:solidFill>
            <a:srgbClr val="000000"/>
          </a:solidFill>
          <a:miter lim="800000"/>
          <a:headEnd/>
          <a:tailEnd/>
        </a:ln>
      </xdr:spPr>
    </xdr:sp>
    <xdr:clientData/>
  </xdr:twoCellAnchor>
  <xdr:twoCellAnchor>
    <xdr:from>
      <xdr:col>5</xdr:col>
      <xdr:colOff>800100</xdr:colOff>
      <xdr:row>15</xdr:row>
      <xdr:rowOff>76200</xdr:rowOff>
    </xdr:from>
    <xdr:to>
      <xdr:col>6</xdr:col>
      <xdr:colOff>104775</xdr:colOff>
      <xdr:row>15</xdr:row>
      <xdr:rowOff>228600</xdr:rowOff>
    </xdr:to>
    <xdr:sp macro="" textlink="">
      <xdr:nvSpPr>
        <xdr:cNvPr id="10" name="Rectangle 12"/>
        <xdr:cNvSpPr>
          <a:spLocks noChangeArrowheads="1"/>
        </xdr:cNvSpPr>
      </xdr:nvSpPr>
      <xdr:spPr bwMode="auto">
        <a:xfrm>
          <a:off x="4514850" y="3819525"/>
          <a:ext cx="161925" cy="152400"/>
        </a:xfrm>
        <a:prstGeom prst="rect">
          <a:avLst/>
        </a:prstGeom>
        <a:noFill/>
        <a:ln w="9525">
          <a:solidFill>
            <a:srgbClr val="000000"/>
          </a:solidFill>
          <a:miter lim="800000"/>
          <a:headEnd/>
          <a:tailEnd/>
        </a:ln>
      </xdr:spPr>
    </xdr:sp>
    <xdr:clientData/>
  </xdr:twoCellAnchor>
  <xdr:twoCellAnchor>
    <xdr:from>
      <xdr:col>7</xdr:col>
      <xdr:colOff>428625</xdr:colOff>
      <xdr:row>16</xdr:row>
      <xdr:rowOff>76200</xdr:rowOff>
    </xdr:from>
    <xdr:to>
      <xdr:col>7</xdr:col>
      <xdr:colOff>590550</xdr:colOff>
      <xdr:row>16</xdr:row>
      <xdr:rowOff>228600</xdr:rowOff>
    </xdr:to>
    <xdr:sp macro="" textlink="">
      <xdr:nvSpPr>
        <xdr:cNvPr id="11" name="Rectangle 13"/>
        <xdr:cNvSpPr>
          <a:spLocks noChangeArrowheads="1"/>
        </xdr:cNvSpPr>
      </xdr:nvSpPr>
      <xdr:spPr bwMode="auto">
        <a:xfrm>
          <a:off x="5381625" y="4105275"/>
          <a:ext cx="161925" cy="152400"/>
        </a:xfrm>
        <a:prstGeom prst="rect">
          <a:avLst/>
        </a:prstGeom>
        <a:noFill/>
        <a:ln w="9525">
          <a:solidFill>
            <a:srgbClr val="000000"/>
          </a:solidFill>
          <a:miter lim="800000"/>
          <a:headEnd/>
          <a:tailEnd/>
        </a:ln>
      </xdr:spPr>
    </xdr:sp>
    <xdr:clientData/>
  </xdr:twoCellAnchor>
  <xdr:twoCellAnchor>
    <xdr:from>
      <xdr:col>0</xdr:col>
      <xdr:colOff>104775</xdr:colOff>
      <xdr:row>32</xdr:row>
      <xdr:rowOff>95250</xdr:rowOff>
    </xdr:from>
    <xdr:to>
      <xdr:col>1</xdr:col>
      <xdr:colOff>9525</xdr:colOff>
      <xdr:row>32</xdr:row>
      <xdr:rowOff>257175</xdr:rowOff>
    </xdr:to>
    <xdr:sp macro="" textlink="">
      <xdr:nvSpPr>
        <xdr:cNvPr id="12" name="Rectangle 18"/>
        <xdr:cNvSpPr>
          <a:spLocks noChangeArrowheads="1"/>
        </xdr:cNvSpPr>
      </xdr:nvSpPr>
      <xdr:spPr bwMode="auto">
        <a:xfrm>
          <a:off x="104775" y="7153275"/>
          <a:ext cx="200025" cy="161925"/>
        </a:xfrm>
        <a:prstGeom prst="rect">
          <a:avLst/>
        </a:prstGeom>
        <a:noFill/>
        <a:ln w="9525">
          <a:solidFill>
            <a:srgbClr val="000000"/>
          </a:solidFill>
          <a:miter lim="800000"/>
          <a:headEnd/>
          <a:tailEnd/>
        </a:ln>
      </xdr:spPr>
    </xdr:sp>
    <xdr:clientData/>
  </xdr:twoCellAnchor>
  <xdr:twoCellAnchor>
    <xdr:from>
      <xdr:col>8</xdr:col>
      <xdr:colOff>361950</xdr:colOff>
      <xdr:row>30</xdr:row>
      <xdr:rowOff>76200</xdr:rowOff>
    </xdr:from>
    <xdr:to>
      <xdr:col>9</xdr:col>
      <xdr:colOff>133350</xdr:colOff>
      <xdr:row>31</xdr:row>
      <xdr:rowOff>0</xdr:rowOff>
    </xdr:to>
    <xdr:sp macro="" textlink="">
      <xdr:nvSpPr>
        <xdr:cNvPr id="13" name="Rectangle 20"/>
        <xdr:cNvSpPr>
          <a:spLocks noChangeArrowheads="1"/>
        </xdr:cNvSpPr>
      </xdr:nvSpPr>
      <xdr:spPr bwMode="auto">
        <a:xfrm>
          <a:off x="5943600" y="6581775"/>
          <a:ext cx="200025" cy="200025"/>
        </a:xfrm>
        <a:prstGeom prst="rect">
          <a:avLst/>
        </a:prstGeom>
        <a:noFill/>
        <a:ln w="9525">
          <a:solidFill>
            <a:srgbClr val="000000"/>
          </a:solidFill>
          <a:miter lim="800000"/>
          <a:headEnd/>
          <a:tailEnd/>
        </a:ln>
      </xdr:spPr>
    </xdr:sp>
    <xdr:clientData/>
  </xdr:twoCellAnchor>
  <xdr:twoCellAnchor>
    <xdr:from>
      <xdr:col>0</xdr:col>
      <xdr:colOff>104775</xdr:colOff>
      <xdr:row>42</xdr:row>
      <xdr:rowOff>0</xdr:rowOff>
    </xdr:from>
    <xdr:to>
      <xdr:col>1</xdr:col>
      <xdr:colOff>9525</xdr:colOff>
      <xdr:row>42</xdr:row>
      <xdr:rowOff>180975</xdr:rowOff>
    </xdr:to>
    <xdr:sp macro="" textlink="">
      <xdr:nvSpPr>
        <xdr:cNvPr id="14" name="Rectangle 21"/>
        <xdr:cNvSpPr>
          <a:spLocks noChangeArrowheads="1"/>
        </xdr:cNvSpPr>
      </xdr:nvSpPr>
      <xdr:spPr bwMode="auto">
        <a:xfrm>
          <a:off x="104775" y="9620250"/>
          <a:ext cx="200025" cy="180975"/>
        </a:xfrm>
        <a:prstGeom prst="rect">
          <a:avLst/>
        </a:prstGeom>
        <a:noFill/>
        <a:ln w="9525">
          <a:solidFill>
            <a:srgbClr val="000000"/>
          </a:solidFill>
          <a:miter lim="800000"/>
          <a:headEnd/>
          <a:tailEnd/>
        </a:ln>
      </xdr:spPr>
    </xdr:sp>
    <xdr:clientData/>
  </xdr:twoCellAnchor>
  <xdr:twoCellAnchor>
    <xdr:from>
      <xdr:col>0</xdr:col>
      <xdr:colOff>104775</xdr:colOff>
      <xdr:row>43</xdr:row>
      <xdr:rowOff>0</xdr:rowOff>
    </xdr:from>
    <xdr:to>
      <xdr:col>1</xdr:col>
      <xdr:colOff>9525</xdr:colOff>
      <xdr:row>43</xdr:row>
      <xdr:rowOff>180975</xdr:rowOff>
    </xdr:to>
    <xdr:sp macro="" textlink="">
      <xdr:nvSpPr>
        <xdr:cNvPr id="15" name="Rectangle 22"/>
        <xdr:cNvSpPr>
          <a:spLocks noChangeArrowheads="1"/>
        </xdr:cNvSpPr>
      </xdr:nvSpPr>
      <xdr:spPr bwMode="auto">
        <a:xfrm>
          <a:off x="104775" y="9877425"/>
          <a:ext cx="200025" cy="180975"/>
        </a:xfrm>
        <a:prstGeom prst="rect">
          <a:avLst/>
        </a:prstGeom>
        <a:noFill/>
        <a:ln w="9525">
          <a:solidFill>
            <a:srgbClr val="000000"/>
          </a:solidFill>
          <a:miter lim="800000"/>
          <a:headEnd/>
          <a:tailEnd/>
        </a:ln>
      </xdr:spPr>
    </xdr:sp>
    <xdr:clientData/>
  </xdr:twoCellAnchor>
  <xdr:twoCellAnchor>
    <xdr:from>
      <xdr:col>4</xdr:col>
      <xdr:colOff>447675</xdr:colOff>
      <xdr:row>42</xdr:row>
      <xdr:rowOff>47625</xdr:rowOff>
    </xdr:from>
    <xdr:to>
      <xdr:col>4</xdr:col>
      <xdr:colOff>647700</xdr:colOff>
      <xdr:row>42</xdr:row>
      <xdr:rowOff>238125</xdr:rowOff>
    </xdr:to>
    <xdr:sp macro="" textlink="">
      <xdr:nvSpPr>
        <xdr:cNvPr id="16" name="Rectangle 23"/>
        <xdr:cNvSpPr>
          <a:spLocks noChangeArrowheads="1"/>
        </xdr:cNvSpPr>
      </xdr:nvSpPr>
      <xdr:spPr bwMode="auto">
        <a:xfrm>
          <a:off x="3371850" y="9667875"/>
          <a:ext cx="200025" cy="190500"/>
        </a:xfrm>
        <a:prstGeom prst="rect">
          <a:avLst/>
        </a:prstGeom>
        <a:noFill/>
        <a:ln w="9525">
          <a:solidFill>
            <a:srgbClr val="000000"/>
          </a:solidFill>
          <a:miter lim="800000"/>
          <a:headEnd/>
          <a:tailEnd/>
        </a:ln>
      </xdr:spPr>
    </xdr:sp>
    <xdr:clientData/>
  </xdr:twoCellAnchor>
  <xdr:twoCellAnchor>
    <xdr:from>
      <xdr:col>3</xdr:col>
      <xdr:colOff>666750</xdr:colOff>
      <xdr:row>45</xdr:row>
      <xdr:rowOff>0</xdr:rowOff>
    </xdr:from>
    <xdr:to>
      <xdr:col>4</xdr:col>
      <xdr:colOff>85725</xdr:colOff>
      <xdr:row>45</xdr:row>
      <xdr:rowOff>0</xdr:rowOff>
    </xdr:to>
    <xdr:sp macro="" textlink="">
      <xdr:nvSpPr>
        <xdr:cNvPr id="17" name="Text Box 24"/>
        <xdr:cNvSpPr txBox="1">
          <a:spLocks noChangeArrowheads="1"/>
        </xdr:cNvSpPr>
      </xdr:nvSpPr>
      <xdr:spPr bwMode="auto">
        <a:xfrm>
          <a:off x="2609850" y="10344150"/>
          <a:ext cx="400050" cy="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Yes</a:t>
          </a:r>
        </a:p>
      </xdr:txBody>
    </xdr:sp>
    <xdr:clientData/>
  </xdr:twoCellAnchor>
  <xdr:twoCellAnchor>
    <xdr:from>
      <xdr:col>0</xdr:col>
      <xdr:colOff>104775</xdr:colOff>
      <xdr:row>4</xdr:row>
      <xdr:rowOff>76200</xdr:rowOff>
    </xdr:from>
    <xdr:to>
      <xdr:col>1</xdr:col>
      <xdr:colOff>0</xdr:colOff>
      <xdr:row>4</xdr:row>
      <xdr:rowOff>238125</xdr:rowOff>
    </xdr:to>
    <xdr:sp macro="" textlink="">
      <xdr:nvSpPr>
        <xdr:cNvPr id="18" name="Rectangle 26"/>
        <xdr:cNvSpPr>
          <a:spLocks noChangeArrowheads="1"/>
        </xdr:cNvSpPr>
      </xdr:nvSpPr>
      <xdr:spPr bwMode="auto">
        <a:xfrm>
          <a:off x="104775" y="1047750"/>
          <a:ext cx="190500" cy="161925"/>
        </a:xfrm>
        <a:prstGeom prst="rect">
          <a:avLst/>
        </a:prstGeom>
        <a:noFill/>
        <a:ln w="9525">
          <a:solidFill>
            <a:srgbClr val="000000"/>
          </a:solidFill>
          <a:miter lim="800000"/>
          <a:headEnd/>
          <a:tailEnd/>
        </a:ln>
      </xdr:spPr>
    </xdr:sp>
    <xdr:clientData/>
  </xdr:twoCellAnchor>
  <xdr:twoCellAnchor>
    <xdr:from>
      <xdr:col>10</xdr:col>
      <xdr:colOff>276225</xdr:colOff>
      <xdr:row>42</xdr:row>
      <xdr:rowOff>57150</xdr:rowOff>
    </xdr:from>
    <xdr:to>
      <xdr:col>10</xdr:col>
      <xdr:colOff>476250</xdr:colOff>
      <xdr:row>42</xdr:row>
      <xdr:rowOff>247650</xdr:rowOff>
    </xdr:to>
    <xdr:sp macro="" textlink="">
      <xdr:nvSpPr>
        <xdr:cNvPr id="19" name="Rectangle 27"/>
        <xdr:cNvSpPr>
          <a:spLocks noChangeArrowheads="1"/>
        </xdr:cNvSpPr>
      </xdr:nvSpPr>
      <xdr:spPr bwMode="auto">
        <a:xfrm>
          <a:off x="6591300" y="9677400"/>
          <a:ext cx="200025" cy="190500"/>
        </a:xfrm>
        <a:prstGeom prst="rect">
          <a:avLst/>
        </a:prstGeom>
        <a:noFill/>
        <a:ln w="9525">
          <a:solidFill>
            <a:srgbClr val="000000"/>
          </a:solidFill>
          <a:miter lim="800000"/>
          <a:headEnd/>
          <a:tailEnd/>
        </a:ln>
      </xdr:spPr>
    </xdr:sp>
    <xdr:clientData/>
  </xdr:twoCellAnchor>
  <xdr:twoCellAnchor>
    <xdr:from>
      <xdr:col>0</xdr:col>
      <xdr:colOff>104775</xdr:colOff>
      <xdr:row>13</xdr:row>
      <xdr:rowOff>57150</xdr:rowOff>
    </xdr:from>
    <xdr:to>
      <xdr:col>1</xdr:col>
      <xdr:colOff>0</xdr:colOff>
      <xdr:row>13</xdr:row>
      <xdr:rowOff>219075</xdr:rowOff>
    </xdr:to>
    <xdr:sp macro="" textlink="">
      <xdr:nvSpPr>
        <xdr:cNvPr id="20" name="Rectangle 32"/>
        <xdr:cNvSpPr>
          <a:spLocks noChangeArrowheads="1"/>
        </xdr:cNvSpPr>
      </xdr:nvSpPr>
      <xdr:spPr bwMode="auto">
        <a:xfrm>
          <a:off x="104775" y="3143250"/>
          <a:ext cx="190500" cy="161925"/>
        </a:xfrm>
        <a:prstGeom prst="rect">
          <a:avLst/>
        </a:prstGeom>
        <a:noFill/>
        <a:ln w="9525">
          <a:solidFill>
            <a:srgbClr val="000000"/>
          </a:solidFill>
          <a:miter lim="800000"/>
          <a:headEnd/>
          <a:tailEnd/>
        </a:ln>
      </xdr:spPr>
    </xdr:sp>
    <xdr:clientData/>
  </xdr:twoCellAnchor>
  <xdr:twoCellAnchor>
    <xdr:from>
      <xdr:col>0</xdr:col>
      <xdr:colOff>104775</xdr:colOff>
      <xdr:row>14</xdr:row>
      <xdr:rowOff>66675</xdr:rowOff>
    </xdr:from>
    <xdr:to>
      <xdr:col>1</xdr:col>
      <xdr:colOff>0</xdr:colOff>
      <xdr:row>14</xdr:row>
      <xdr:rowOff>238125</xdr:rowOff>
    </xdr:to>
    <xdr:sp macro="" textlink="">
      <xdr:nvSpPr>
        <xdr:cNvPr id="21" name="Rectangle 33"/>
        <xdr:cNvSpPr>
          <a:spLocks noChangeArrowheads="1"/>
        </xdr:cNvSpPr>
      </xdr:nvSpPr>
      <xdr:spPr bwMode="auto">
        <a:xfrm>
          <a:off x="104775" y="3438525"/>
          <a:ext cx="190500" cy="171450"/>
        </a:xfrm>
        <a:prstGeom prst="rect">
          <a:avLst/>
        </a:prstGeom>
        <a:noFill/>
        <a:ln w="9525">
          <a:solidFill>
            <a:srgbClr val="000000"/>
          </a:solidFill>
          <a:miter lim="800000"/>
          <a:headEnd/>
          <a:tailEnd/>
        </a:ln>
      </xdr:spPr>
    </xdr:sp>
    <xdr:clientData/>
  </xdr:twoCellAnchor>
  <xdr:twoCellAnchor>
    <xdr:from>
      <xdr:col>3</xdr:col>
      <xdr:colOff>76200</xdr:colOff>
      <xdr:row>14</xdr:row>
      <xdr:rowOff>66675</xdr:rowOff>
    </xdr:from>
    <xdr:to>
      <xdr:col>3</xdr:col>
      <xdr:colOff>276225</xdr:colOff>
      <xdr:row>14</xdr:row>
      <xdr:rowOff>257175</xdr:rowOff>
    </xdr:to>
    <xdr:sp macro="" textlink="">
      <xdr:nvSpPr>
        <xdr:cNvPr id="22" name="Rectangle 34"/>
        <xdr:cNvSpPr>
          <a:spLocks noChangeArrowheads="1"/>
        </xdr:cNvSpPr>
      </xdr:nvSpPr>
      <xdr:spPr bwMode="auto">
        <a:xfrm>
          <a:off x="2019300" y="3438525"/>
          <a:ext cx="200025" cy="190500"/>
        </a:xfrm>
        <a:prstGeom prst="rect">
          <a:avLst/>
        </a:prstGeom>
        <a:noFill/>
        <a:ln w="9525">
          <a:solidFill>
            <a:srgbClr val="000000"/>
          </a:solidFill>
          <a:miter lim="800000"/>
          <a:headEnd/>
          <a:tailEnd/>
        </a:ln>
      </xdr:spPr>
    </xdr:sp>
    <xdr:clientData/>
  </xdr:twoCellAnchor>
  <xdr:twoCellAnchor>
    <xdr:from>
      <xdr:col>0</xdr:col>
      <xdr:colOff>104775</xdr:colOff>
      <xdr:row>3</xdr:row>
      <xdr:rowOff>66675</xdr:rowOff>
    </xdr:from>
    <xdr:to>
      <xdr:col>1</xdr:col>
      <xdr:colOff>0</xdr:colOff>
      <xdr:row>3</xdr:row>
      <xdr:rowOff>228600</xdr:rowOff>
    </xdr:to>
    <xdr:sp macro="" textlink="">
      <xdr:nvSpPr>
        <xdr:cNvPr id="23" name="Rectangle 35"/>
        <xdr:cNvSpPr>
          <a:spLocks noChangeArrowheads="1"/>
        </xdr:cNvSpPr>
      </xdr:nvSpPr>
      <xdr:spPr bwMode="auto">
        <a:xfrm>
          <a:off x="104775" y="771525"/>
          <a:ext cx="190500" cy="161925"/>
        </a:xfrm>
        <a:prstGeom prst="rect">
          <a:avLst/>
        </a:prstGeom>
        <a:noFill/>
        <a:ln w="9525">
          <a:solidFill>
            <a:srgbClr val="000000"/>
          </a:solidFill>
          <a:miter lim="800000"/>
          <a:headEnd/>
          <a:tailEnd/>
        </a:ln>
      </xdr:spPr>
    </xdr:sp>
    <xdr:clientData/>
  </xdr:twoCellAnchor>
  <xdr:twoCellAnchor>
    <xdr:from>
      <xdr:col>7</xdr:col>
      <xdr:colOff>152400</xdr:colOff>
      <xdr:row>52</xdr:row>
      <xdr:rowOff>238125</xdr:rowOff>
    </xdr:from>
    <xdr:to>
      <xdr:col>7</xdr:col>
      <xdr:colOff>504825</xdr:colOff>
      <xdr:row>52</xdr:row>
      <xdr:rowOff>238125</xdr:rowOff>
    </xdr:to>
    <xdr:sp macro="" textlink="">
      <xdr:nvSpPr>
        <xdr:cNvPr id="24" name="Line 36"/>
        <xdr:cNvSpPr>
          <a:spLocks noChangeShapeType="1"/>
        </xdr:cNvSpPr>
      </xdr:nvSpPr>
      <xdr:spPr bwMode="auto">
        <a:xfrm flipV="1">
          <a:off x="5105400" y="12249150"/>
          <a:ext cx="352425" cy="0"/>
        </a:xfrm>
        <a:prstGeom prst="line">
          <a:avLst/>
        </a:prstGeom>
        <a:noFill/>
        <a:ln w="9525">
          <a:solidFill>
            <a:srgbClr val="000000"/>
          </a:solidFill>
          <a:round/>
          <a:headEnd/>
          <a:tailEnd/>
        </a:ln>
      </xdr:spPr>
    </xdr:sp>
    <xdr:clientData/>
  </xdr:twoCellAnchor>
  <xdr:twoCellAnchor>
    <xdr:from>
      <xdr:col>12</xdr:col>
      <xdr:colOff>514350</xdr:colOff>
      <xdr:row>51</xdr:row>
      <xdr:rowOff>9525</xdr:rowOff>
    </xdr:from>
    <xdr:to>
      <xdr:col>13</xdr:col>
      <xdr:colOff>123825</xdr:colOff>
      <xdr:row>51</xdr:row>
      <xdr:rowOff>152400</xdr:rowOff>
    </xdr:to>
    <xdr:sp macro="" textlink="">
      <xdr:nvSpPr>
        <xdr:cNvPr id="25" name="Rectangle 38"/>
        <xdr:cNvSpPr>
          <a:spLocks noChangeArrowheads="1"/>
        </xdr:cNvSpPr>
      </xdr:nvSpPr>
      <xdr:spPr bwMode="auto">
        <a:xfrm>
          <a:off x="8410575" y="11830050"/>
          <a:ext cx="152400" cy="142875"/>
        </a:xfrm>
        <a:prstGeom prst="rect">
          <a:avLst/>
        </a:prstGeom>
        <a:noFill/>
        <a:ln w="9525">
          <a:solidFill>
            <a:srgbClr val="000000"/>
          </a:solidFill>
          <a:miter lim="800000"/>
          <a:headEnd/>
          <a:tailEnd/>
        </a:ln>
      </xdr:spPr>
    </xdr:sp>
    <xdr:clientData/>
  </xdr:twoCellAnchor>
  <xdr:twoCellAnchor>
    <xdr:from>
      <xdr:col>14</xdr:col>
      <xdr:colOff>285750</xdr:colOff>
      <xdr:row>51</xdr:row>
      <xdr:rowOff>9525</xdr:rowOff>
    </xdr:from>
    <xdr:to>
      <xdr:col>14</xdr:col>
      <xdr:colOff>438150</xdr:colOff>
      <xdr:row>51</xdr:row>
      <xdr:rowOff>152400</xdr:rowOff>
    </xdr:to>
    <xdr:sp macro="" textlink="">
      <xdr:nvSpPr>
        <xdr:cNvPr id="26" name="Rectangle 39"/>
        <xdr:cNvSpPr>
          <a:spLocks noChangeArrowheads="1"/>
        </xdr:cNvSpPr>
      </xdr:nvSpPr>
      <xdr:spPr bwMode="auto">
        <a:xfrm>
          <a:off x="9201150" y="11830050"/>
          <a:ext cx="152400" cy="142875"/>
        </a:xfrm>
        <a:prstGeom prst="rect">
          <a:avLst/>
        </a:prstGeom>
        <a:noFill/>
        <a:ln w="9525">
          <a:solidFill>
            <a:srgbClr val="000000"/>
          </a:solidFill>
          <a:miter lim="800000"/>
          <a:headEnd/>
          <a:tailEnd/>
        </a:ln>
      </xdr:spPr>
    </xdr:sp>
    <xdr:clientData/>
  </xdr:twoCellAnchor>
  <xdr:twoCellAnchor>
    <xdr:from>
      <xdr:col>0</xdr:col>
      <xdr:colOff>104775</xdr:colOff>
      <xdr:row>30</xdr:row>
      <xdr:rowOff>66675</xdr:rowOff>
    </xdr:from>
    <xdr:to>
      <xdr:col>1</xdr:col>
      <xdr:colOff>9525</xdr:colOff>
      <xdr:row>30</xdr:row>
      <xdr:rowOff>228600</xdr:rowOff>
    </xdr:to>
    <xdr:sp macro="" textlink="">
      <xdr:nvSpPr>
        <xdr:cNvPr id="27" name="Rectangle 41"/>
        <xdr:cNvSpPr>
          <a:spLocks noChangeArrowheads="1"/>
        </xdr:cNvSpPr>
      </xdr:nvSpPr>
      <xdr:spPr bwMode="auto">
        <a:xfrm>
          <a:off x="104775" y="6572250"/>
          <a:ext cx="200025" cy="161925"/>
        </a:xfrm>
        <a:prstGeom prst="rect">
          <a:avLst/>
        </a:prstGeom>
        <a:noFill/>
        <a:ln w="9525">
          <a:solidFill>
            <a:srgbClr val="000000"/>
          </a:solidFill>
          <a:miter lim="800000"/>
          <a:headEnd/>
          <a:tailEnd/>
        </a:ln>
      </xdr:spPr>
    </xdr:sp>
    <xdr:clientData/>
  </xdr:twoCellAnchor>
  <xdr:twoCellAnchor>
    <xdr:from>
      <xdr:col>0</xdr:col>
      <xdr:colOff>104775</xdr:colOff>
      <xdr:row>31</xdr:row>
      <xdr:rowOff>85725</xdr:rowOff>
    </xdr:from>
    <xdr:to>
      <xdr:col>1</xdr:col>
      <xdr:colOff>9525</xdr:colOff>
      <xdr:row>31</xdr:row>
      <xdr:rowOff>247650</xdr:rowOff>
    </xdr:to>
    <xdr:sp macro="" textlink="">
      <xdr:nvSpPr>
        <xdr:cNvPr id="28" name="Rectangle 42"/>
        <xdr:cNvSpPr>
          <a:spLocks noChangeArrowheads="1"/>
        </xdr:cNvSpPr>
      </xdr:nvSpPr>
      <xdr:spPr bwMode="auto">
        <a:xfrm>
          <a:off x="104775" y="6867525"/>
          <a:ext cx="200025" cy="161925"/>
        </a:xfrm>
        <a:prstGeom prst="rect">
          <a:avLst/>
        </a:prstGeom>
        <a:noFill/>
        <a:ln w="9525">
          <a:solidFill>
            <a:srgbClr val="000000"/>
          </a:solidFill>
          <a:miter lim="800000"/>
          <a:headEnd/>
          <a:tailEnd/>
        </a:ln>
      </xdr:spPr>
    </xdr:sp>
    <xdr:clientData/>
  </xdr:twoCellAnchor>
  <xdr:twoCellAnchor>
    <xdr:from>
      <xdr:col>11</xdr:col>
      <xdr:colOff>295275</xdr:colOff>
      <xdr:row>16</xdr:row>
      <xdr:rowOff>76200</xdr:rowOff>
    </xdr:from>
    <xdr:to>
      <xdr:col>11</xdr:col>
      <xdr:colOff>457200</xdr:colOff>
      <xdr:row>16</xdr:row>
      <xdr:rowOff>228600</xdr:rowOff>
    </xdr:to>
    <xdr:sp macro="" textlink="">
      <xdr:nvSpPr>
        <xdr:cNvPr id="29" name="Rectangle 43"/>
        <xdr:cNvSpPr>
          <a:spLocks noChangeArrowheads="1"/>
        </xdr:cNvSpPr>
      </xdr:nvSpPr>
      <xdr:spPr bwMode="auto">
        <a:xfrm>
          <a:off x="7181850" y="4105275"/>
          <a:ext cx="161925" cy="152400"/>
        </a:xfrm>
        <a:prstGeom prst="rect">
          <a:avLst/>
        </a:prstGeom>
        <a:no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6</xdr:col>
      <xdr:colOff>152400</xdr:colOff>
      <xdr:row>6</xdr:row>
      <xdr:rowOff>142875</xdr:rowOff>
    </xdr:to>
    <xdr:sp macro="" textlink="">
      <xdr:nvSpPr>
        <xdr:cNvPr id="2" name="TextBox 1"/>
        <xdr:cNvSpPr txBox="1"/>
      </xdr:nvSpPr>
      <xdr:spPr>
        <a:xfrm>
          <a:off x="3857625" y="571500"/>
          <a:ext cx="13716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This tab is for internal OSPA/SPA</a:t>
          </a:r>
          <a:r>
            <a:rPr lang="en-US" sz="1100" b="1" baseline="0">
              <a:solidFill>
                <a:srgbClr val="FF0000"/>
              </a:solidFill>
            </a:rPr>
            <a:t> use only.  </a:t>
          </a:r>
          <a:endParaRPr lang="en-US"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6-NIH_complete_budget-09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ftelie/AppData/Local/Microsoft/Windows/Temporary%20Internet%20Files/Content.Outlook/XGJN5ZNE/NIHbudgetlite01081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oftelie/AppData/Local/Microsoft/Windows/Temporary%20Internet%20Files/Content.Outlook/XGJN5ZNE/NSF-budget%20-%200103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pa.iastate.edu/Documents/02-NIH_modular_budget-05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perations.medicine.iu.edu/documents/Research_Administration/PHS398%20(04-06)%20as%20Subcontra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docs\anonymous\nih_modular_budge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spa.iastate.edu/Documents%20and%20Settings/bmneese/Local%20Settings/Temporary%20Internet%20Files/Content.Outlook/QHP08TJ8/BOB-2011-06-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Page"/>
      <sheetName val="Base Budget"/>
      <sheetName val="Mod Budget Form"/>
      <sheetName val="Form Page 4"/>
      <sheetName val="Form Page 5"/>
      <sheetName val="Checklist"/>
    </sheetNames>
    <sheetDataSet>
      <sheetData sheetId="0" refreshError="1"/>
      <sheetData sheetId="1"/>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Page"/>
      <sheetName val="Base Budget"/>
      <sheetName val="Mod Budget Form"/>
      <sheetName val="Checklist"/>
      <sheetName val="Tuition"/>
    </sheetNames>
    <sheetDataSet>
      <sheetData sheetId="0"/>
      <sheetData sheetId="1">
        <row r="13">
          <cell r="C13">
            <v>0.5</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F5GPG"/>
      <sheetName val="Tuition"/>
      <sheetName val="Module1"/>
    </sheetNames>
    <sheetDataSet>
      <sheetData sheetId="0">
        <row r="40">
          <cell r="C40">
            <v>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Page"/>
      <sheetName val="Budget for Modular Grant"/>
      <sheetName val="Mod Justification"/>
      <sheetName val="Mod Checklist"/>
    </sheetNames>
    <sheetDataSet>
      <sheetData sheetId="0"/>
      <sheetData sheetId="1">
        <row r="13">
          <cell r="C13">
            <v>0.46</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Name val="FIRSTBUD"/>
      <sheetName val="ENTRBUD"/>
      <sheetName val="CHKLST"/>
      <sheetName val="F &amp; A Calculation"/>
    </sheetNames>
    <sheetDataSet>
      <sheetData sheetId="0"/>
      <sheetData sheetId="1" refreshError="1"/>
      <sheetData sheetId="2"/>
      <sheetData sheetId="3" refreshError="1"/>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for Modular Grant"/>
      <sheetName val="Mod Justification"/>
    </sheetNames>
    <sheetDataSet>
      <sheetData sheetId="0">
        <row r="13">
          <cell r="G13">
            <v>1</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Salaries &amp; Wages"/>
      <sheetName val="Equip-Travel-Participants"/>
      <sheetName val="Other Direct"/>
      <sheetName val="Subcontracts"/>
      <sheetName val="Cumulative Budget"/>
      <sheetName val="Links"/>
      <sheetName val="Sheet1"/>
      <sheetName val="Salaries &amp;#38;#38;#38; Wages"/>
    </sheetNames>
    <sheetDataSet>
      <sheetData sheetId="0">
        <row r="10">
          <cell r="I10">
            <v>0</v>
          </cell>
        </row>
      </sheetData>
      <sheetData sheetId="1"/>
      <sheetData sheetId="2"/>
      <sheetData sheetId="3"/>
      <sheetData sheetId="4"/>
      <sheetData sheetId="5"/>
      <sheetData sheetId="6" refreshError="1"/>
      <sheetData sheetId="7" refreshError="1"/>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grants.nih.gov/grants/guide/notice-files/NOT-OD-07-057.html" TargetMode="External"/><Relationship Id="rId7" Type="http://schemas.openxmlformats.org/officeDocument/2006/relationships/hyperlink" Target="http://grants.nih.gov/grants/guide/notice-files/NOT-OD-12-033.html" TargetMode="External"/><Relationship Id="rId2" Type="http://schemas.openxmlformats.org/officeDocument/2006/relationships/hyperlink" Target="http://grants.nih.gov/grants/guide/notice-files/NOT-OD-05-032.html" TargetMode="External"/><Relationship Id="rId1" Type="http://schemas.openxmlformats.org/officeDocument/2006/relationships/hyperlink" Target="http://grants.nih.gov/grants/guide/notice-files/NOT-OD-07-051.html" TargetMode="External"/><Relationship Id="rId6" Type="http://schemas.openxmlformats.org/officeDocument/2006/relationships/hyperlink" Target="http://grants.nih.gov/grants/guide/notice-files/NOT-OD-12-035.html" TargetMode="External"/><Relationship Id="rId11" Type="http://schemas.openxmlformats.org/officeDocument/2006/relationships/comments" Target="../comments2.xml"/><Relationship Id="rId5" Type="http://schemas.openxmlformats.org/officeDocument/2006/relationships/hyperlink" Target="http://grants.nih.gov/grants/guide/notice-files/NOT-OD-12-033.html" TargetMode="External"/><Relationship Id="rId10" Type="http://schemas.openxmlformats.org/officeDocument/2006/relationships/vmlDrawing" Target="../drawings/vmlDrawing2.vml"/><Relationship Id="rId4" Type="http://schemas.openxmlformats.org/officeDocument/2006/relationships/hyperlink" Target="http://grants.nih.gov/grants/guide/notice-files/NOT-OD-06-026.html"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pageSetUpPr fitToPage="1"/>
  </sheetPr>
  <dimension ref="A1:AJ87"/>
  <sheetViews>
    <sheetView showGridLines="0" zoomScaleNormal="86" zoomScaleSheetLayoutView="70" workbookViewId="0">
      <selection activeCell="Q17" sqref="Q17"/>
    </sheetView>
  </sheetViews>
  <sheetFormatPr defaultColWidth="16" defaultRowHeight="10.199999999999999"/>
  <cols>
    <col min="1" max="1" width="9" style="230" customWidth="1"/>
    <col min="2" max="2" width="12.6640625" style="230" customWidth="1"/>
    <col min="3" max="3" width="6.33203125" style="230" customWidth="1"/>
    <col min="4" max="4" width="5.6640625" style="230" customWidth="1"/>
    <col min="5" max="5" width="5.5546875" style="230" customWidth="1"/>
    <col min="6" max="6" width="3.6640625" style="230" customWidth="1"/>
    <col min="7" max="7" width="23.5546875" style="230" customWidth="1"/>
    <col min="8" max="8" width="9" style="230" customWidth="1"/>
    <col min="9" max="9" width="10.44140625" style="230" customWidth="1"/>
    <col min="10" max="10" width="6.6640625" style="230" customWidth="1"/>
    <col min="11" max="11" width="5.5546875" style="230" customWidth="1"/>
    <col min="12" max="12" width="4" style="230" customWidth="1"/>
    <col min="13" max="13" width="3.88671875" style="230" customWidth="1"/>
    <col min="14" max="14" width="8.6640625" style="230" customWidth="1"/>
    <col min="15" max="15" width="10.5546875" style="230" customWidth="1"/>
    <col min="16" max="16" width="11" style="230" customWidth="1"/>
    <col min="17" max="256" width="16" style="230"/>
    <col min="257" max="257" width="9" style="230" customWidth="1"/>
    <col min="258" max="258" width="12.6640625" style="230" customWidth="1"/>
    <col min="259" max="259" width="6.33203125" style="230" customWidth="1"/>
    <col min="260" max="260" width="5.6640625" style="230" customWidth="1"/>
    <col min="261" max="261" width="5.5546875" style="230" customWidth="1"/>
    <col min="262" max="262" width="3.6640625" style="230" customWidth="1"/>
    <col min="263" max="263" width="23.5546875" style="230" customWidth="1"/>
    <col min="264" max="264" width="9" style="230" customWidth="1"/>
    <col min="265" max="265" width="10.44140625" style="230" customWidth="1"/>
    <col min="266" max="266" width="6.6640625" style="230" customWidth="1"/>
    <col min="267" max="267" width="5.5546875" style="230" customWidth="1"/>
    <col min="268" max="268" width="4" style="230" customWidth="1"/>
    <col min="269" max="269" width="3.88671875" style="230" customWidth="1"/>
    <col min="270" max="270" width="8.6640625" style="230" customWidth="1"/>
    <col min="271" max="271" width="10.5546875" style="230" customWidth="1"/>
    <col min="272" max="272" width="11" style="230" customWidth="1"/>
    <col min="273" max="512" width="16" style="230"/>
    <col min="513" max="513" width="9" style="230" customWidth="1"/>
    <col min="514" max="514" width="12.6640625" style="230" customWidth="1"/>
    <col min="515" max="515" width="6.33203125" style="230" customWidth="1"/>
    <col min="516" max="516" width="5.6640625" style="230" customWidth="1"/>
    <col min="517" max="517" width="5.5546875" style="230" customWidth="1"/>
    <col min="518" max="518" width="3.6640625" style="230" customWidth="1"/>
    <col min="519" max="519" width="23.5546875" style="230" customWidth="1"/>
    <col min="520" max="520" width="9" style="230" customWidth="1"/>
    <col min="521" max="521" width="10.44140625" style="230" customWidth="1"/>
    <col min="522" max="522" width="6.6640625" style="230" customWidth="1"/>
    <col min="523" max="523" width="5.5546875" style="230" customWidth="1"/>
    <col min="524" max="524" width="4" style="230" customWidth="1"/>
    <col min="525" max="525" width="3.88671875" style="230" customWidth="1"/>
    <col min="526" max="526" width="8.6640625" style="230" customWidth="1"/>
    <col min="527" max="527" width="10.5546875" style="230" customWidth="1"/>
    <col min="528" max="528" width="11" style="230" customWidth="1"/>
    <col min="529" max="768" width="16" style="230"/>
    <col min="769" max="769" width="9" style="230" customWidth="1"/>
    <col min="770" max="770" width="12.6640625" style="230" customWidth="1"/>
    <col min="771" max="771" width="6.33203125" style="230" customWidth="1"/>
    <col min="772" max="772" width="5.6640625" style="230" customWidth="1"/>
    <col min="773" max="773" width="5.5546875" style="230" customWidth="1"/>
    <col min="774" max="774" width="3.6640625" style="230" customWidth="1"/>
    <col min="775" max="775" width="23.5546875" style="230" customWidth="1"/>
    <col min="776" max="776" width="9" style="230" customWidth="1"/>
    <col min="777" max="777" width="10.44140625" style="230" customWidth="1"/>
    <col min="778" max="778" width="6.6640625" style="230" customWidth="1"/>
    <col min="779" max="779" width="5.5546875" style="230" customWidth="1"/>
    <col min="780" max="780" width="4" style="230" customWidth="1"/>
    <col min="781" max="781" width="3.88671875" style="230" customWidth="1"/>
    <col min="782" max="782" width="8.6640625" style="230" customWidth="1"/>
    <col min="783" max="783" width="10.5546875" style="230" customWidth="1"/>
    <col min="784" max="784" width="11" style="230" customWidth="1"/>
    <col min="785" max="1024" width="16" style="230"/>
    <col min="1025" max="1025" width="9" style="230" customWidth="1"/>
    <col min="1026" max="1026" width="12.6640625" style="230" customWidth="1"/>
    <col min="1027" max="1027" width="6.33203125" style="230" customWidth="1"/>
    <col min="1028" max="1028" width="5.6640625" style="230" customWidth="1"/>
    <col min="1029" max="1029" width="5.5546875" style="230" customWidth="1"/>
    <col min="1030" max="1030" width="3.6640625" style="230" customWidth="1"/>
    <col min="1031" max="1031" width="23.5546875" style="230" customWidth="1"/>
    <col min="1032" max="1032" width="9" style="230" customWidth="1"/>
    <col min="1033" max="1033" width="10.44140625" style="230" customWidth="1"/>
    <col min="1034" max="1034" width="6.6640625" style="230" customWidth="1"/>
    <col min="1035" max="1035" width="5.5546875" style="230" customWidth="1"/>
    <col min="1036" max="1036" width="4" style="230" customWidth="1"/>
    <col min="1037" max="1037" width="3.88671875" style="230" customWidth="1"/>
    <col min="1038" max="1038" width="8.6640625" style="230" customWidth="1"/>
    <col min="1039" max="1039" width="10.5546875" style="230" customWidth="1"/>
    <col min="1040" max="1040" width="11" style="230" customWidth="1"/>
    <col min="1041" max="1280" width="16" style="230"/>
    <col min="1281" max="1281" width="9" style="230" customWidth="1"/>
    <col min="1282" max="1282" width="12.6640625" style="230" customWidth="1"/>
    <col min="1283" max="1283" width="6.33203125" style="230" customWidth="1"/>
    <col min="1284" max="1284" width="5.6640625" style="230" customWidth="1"/>
    <col min="1285" max="1285" width="5.5546875" style="230" customWidth="1"/>
    <col min="1286" max="1286" width="3.6640625" style="230" customWidth="1"/>
    <col min="1287" max="1287" width="23.5546875" style="230" customWidth="1"/>
    <col min="1288" max="1288" width="9" style="230" customWidth="1"/>
    <col min="1289" max="1289" width="10.44140625" style="230" customWidth="1"/>
    <col min="1290" max="1290" width="6.6640625" style="230" customWidth="1"/>
    <col min="1291" max="1291" width="5.5546875" style="230" customWidth="1"/>
    <col min="1292" max="1292" width="4" style="230" customWidth="1"/>
    <col min="1293" max="1293" width="3.88671875" style="230" customWidth="1"/>
    <col min="1294" max="1294" width="8.6640625" style="230" customWidth="1"/>
    <col min="1295" max="1295" width="10.5546875" style="230" customWidth="1"/>
    <col min="1296" max="1296" width="11" style="230" customWidth="1"/>
    <col min="1297" max="1536" width="16" style="230"/>
    <col min="1537" max="1537" width="9" style="230" customWidth="1"/>
    <col min="1538" max="1538" width="12.6640625" style="230" customWidth="1"/>
    <col min="1539" max="1539" width="6.33203125" style="230" customWidth="1"/>
    <col min="1540" max="1540" width="5.6640625" style="230" customWidth="1"/>
    <col min="1541" max="1541" width="5.5546875" style="230" customWidth="1"/>
    <col min="1542" max="1542" width="3.6640625" style="230" customWidth="1"/>
    <col min="1543" max="1543" width="23.5546875" style="230" customWidth="1"/>
    <col min="1544" max="1544" width="9" style="230" customWidth="1"/>
    <col min="1545" max="1545" width="10.44140625" style="230" customWidth="1"/>
    <col min="1546" max="1546" width="6.6640625" style="230" customWidth="1"/>
    <col min="1547" max="1547" width="5.5546875" style="230" customWidth="1"/>
    <col min="1548" max="1548" width="4" style="230" customWidth="1"/>
    <col min="1549" max="1549" width="3.88671875" style="230" customWidth="1"/>
    <col min="1550" max="1550" width="8.6640625" style="230" customWidth="1"/>
    <col min="1551" max="1551" width="10.5546875" style="230" customWidth="1"/>
    <col min="1552" max="1552" width="11" style="230" customWidth="1"/>
    <col min="1553" max="1792" width="16" style="230"/>
    <col min="1793" max="1793" width="9" style="230" customWidth="1"/>
    <col min="1794" max="1794" width="12.6640625" style="230" customWidth="1"/>
    <col min="1795" max="1795" width="6.33203125" style="230" customWidth="1"/>
    <col min="1796" max="1796" width="5.6640625" style="230" customWidth="1"/>
    <col min="1797" max="1797" width="5.5546875" style="230" customWidth="1"/>
    <col min="1798" max="1798" width="3.6640625" style="230" customWidth="1"/>
    <col min="1799" max="1799" width="23.5546875" style="230" customWidth="1"/>
    <col min="1800" max="1800" width="9" style="230" customWidth="1"/>
    <col min="1801" max="1801" width="10.44140625" style="230" customWidth="1"/>
    <col min="1802" max="1802" width="6.6640625" style="230" customWidth="1"/>
    <col min="1803" max="1803" width="5.5546875" style="230" customWidth="1"/>
    <col min="1804" max="1804" width="4" style="230" customWidth="1"/>
    <col min="1805" max="1805" width="3.88671875" style="230" customWidth="1"/>
    <col min="1806" max="1806" width="8.6640625" style="230" customWidth="1"/>
    <col min="1807" max="1807" width="10.5546875" style="230" customWidth="1"/>
    <col min="1808" max="1808" width="11" style="230" customWidth="1"/>
    <col min="1809" max="2048" width="16" style="230"/>
    <col min="2049" max="2049" width="9" style="230" customWidth="1"/>
    <col min="2050" max="2050" width="12.6640625" style="230" customWidth="1"/>
    <col min="2051" max="2051" width="6.33203125" style="230" customWidth="1"/>
    <col min="2052" max="2052" width="5.6640625" style="230" customWidth="1"/>
    <col min="2053" max="2053" width="5.5546875" style="230" customWidth="1"/>
    <col min="2054" max="2054" width="3.6640625" style="230" customWidth="1"/>
    <col min="2055" max="2055" width="23.5546875" style="230" customWidth="1"/>
    <col min="2056" max="2056" width="9" style="230" customWidth="1"/>
    <col min="2057" max="2057" width="10.44140625" style="230" customWidth="1"/>
    <col min="2058" max="2058" width="6.6640625" style="230" customWidth="1"/>
    <col min="2059" max="2059" width="5.5546875" style="230" customWidth="1"/>
    <col min="2060" max="2060" width="4" style="230" customWidth="1"/>
    <col min="2061" max="2061" width="3.88671875" style="230" customWidth="1"/>
    <col min="2062" max="2062" width="8.6640625" style="230" customWidth="1"/>
    <col min="2063" max="2063" width="10.5546875" style="230" customWidth="1"/>
    <col min="2064" max="2064" width="11" style="230" customWidth="1"/>
    <col min="2065" max="2304" width="16" style="230"/>
    <col min="2305" max="2305" width="9" style="230" customWidth="1"/>
    <col min="2306" max="2306" width="12.6640625" style="230" customWidth="1"/>
    <col min="2307" max="2307" width="6.33203125" style="230" customWidth="1"/>
    <col min="2308" max="2308" width="5.6640625" style="230" customWidth="1"/>
    <col min="2309" max="2309" width="5.5546875" style="230" customWidth="1"/>
    <col min="2310" max="2310" width="3.6640625" style="230" customWidth="1"/>
    <col min="2311" max="2311" width="23.5546875" style="230" customWidth="1"/>
    <col min="2312" max="2312" width="9" style="230" customWidth="1"/>
    <col min="2313" max="2313" width="10.44140625" style="230" customWidth="1"/>
    <col min="2314" max="2314" width="6.6640625" style="230" customWidth="1"/>
    <col min="2315" max="2315" width="5.5546875" style="230" customWidth="1"/>
    <col min="2316" max="2316" width="4" style="230" customWidth="1"/>
    <col min="2317" max="2317" width="3.88671875" style="230" customWidth="1"/>
    <col min="2318" max="2318" width="8.6640625" style="230" customWidth="1"/>
    <col min="2319" max="2319" width="10.5546875" style="230" customWidth="1"/>
    <col min="2320" max="2320" width="11" style="230" customWidth="1"/>
    <col min="2321" max="2560" width="16" style="230"/>
    <col min="2561" max="2561" width="9" style="230" customWidth="1"/>
    <col min="2562" max="2562" width="12.6640625" style="230" customWidth="1"/>
    <col min="2563" max="2563" width="6.33203125" style="230" customWidth="1"/>
    <col min="2564" max="2564" width="5.6640625" style="230" customWidth="1"/>
    <col min="2565" max="2565" width="5.5546875" style="230" customWidth="1"/>
    <col min="2566" max="2566" width="3.6640625" style="230" customWidth="1"/>
    <col min="2567" max="2567" width="23.5546875" style="230" customWidth="1"/>
    <col min="2568" max="2568" width="9" style="230" customWidth="1"/>
    <col min="2569" max="2569" width="10.44140625" style="230" customWidth="1"/>
    <col min="2570" max="2570" width="6.6640625" style="230" customWidth="1"/>
    <col min="2571" max="2571" width="5.5546875" style="230" customWidth="1"/>
    <col min="2572" max="2572" width="4" style="230" customWidth="1"/>
    <col min="2573" max="2573" width="3.88671875" style="230" customWidth="1"/>
    <col min="2574" max="2574" width="8.6640625" style="230" customWidth="1"/>
    <col min="2575" max="2575" width="10.5546875" style="230" customWidth="1"/>
    <col min="2576" max="2576" width="11" style="230" customWidth="1"/>
    <col min="2577" max="2816" width="16" style="230"/>
    <col min="2817" max="2817" width="9" style="230" customWidth="1"/>
    <col min="2818" max="2818" width="12.6640625" style="230" customWidth="1"/>
    <col min="2819" max="2819" width="6.33203125" style="230" customWidth="1"/>
    <col min="2820" max="2820" width="5.6640625" style="230" customWidth="1"/>
    <col min="2821" max="2821" width="5.5546875" style="230" customWidth="1"/>
    <col min="2822" max="2822" width="3.6640625" style="230" customWidth="1"/>
    <col min="2823" max="2823" width="23.5546875" style="230" customWidth="1"/>
    <col min="2824" max="2824" width="9" style="230" customWidth="1"/>
    <col min="2825" max="2825" width="10.44140625" style="230" customWidth="1"/>
    <col min="2826" max="2826" width="6.6640625" style="230" customWidth="1"/>
    <col min="2827" max="2827" width="5.5546875" style="230" customWidth="1"/>
    <col min="2828" max="2828" width="4" style="230" customWidth="1"/>
    <col min="2829" max="2829" width="3.88671875" style="230" customWidth="1"/>
    <col min="2830" max="2830" width="8.6640625" style="230" customWidth="1"/>
    <col min="2831" max="2831" width="10.5546875" style="230" customWidth="1"/>
    <col min="2832" max="2832" width="11" style="230" customWidth="1"/>
    <col min="2833" max="3072" width="16" style="230"/>
    <col min="3073" max="3073" width="9" style="230" customWidth="1"/>
    <col min="3074" max="3074" width="12.6640625" style="230" customWidth="1"/>
    <col min="3075" max="3075" width="6.33203125" style="230" customWidth="1"/>
    <col min="3076" max="3076" width="5.6640625" style="230" customWidth="1"/>
    <col min="3077" max="3077" width="5.5546875" style="230" customWidth="1"/>
    <col min="3078" max="3078" width="3.6640625" style="230" customWidth="1"/>
    <col min="3079" max="3079" width="23.5546875" style="230" customWidth="1"/>
    <col min="3080" max="3080" width="9" style="230" customWidth="1"/>
    <col min="3081" max="3081" width="10.44140625" style="230" customWidth="1"/>
    <col min="3082" max="3082" width="6.6640625" style="230" customWidth="1"/>
    <col min="3083" max="3083" width="5.5546875" style="230" customWidth="1"/>
    <col min="3084" max="3084" width="4" style="230" customWidth="1"/>
    <col min="3085" max="3085" width="3.88671875" style="230" customWidth="1"/>
    <col min="3086" max="3086" width="8.6640625" style="230" customWidth="1"/>
    <col min="3087" max="3087" width="10.5546875" style="230" customWidth="1"/>
    <col min="3088" max="3088" width="11" style="230" customWidth="1"/>
    <col min="3089" max="3328" width="16" style="230"/>
    <col min="3329" max="3329" width="9" style="230" customWidth="1"/>
    <col min="3330" max="3330" width="12.6640625" style="230" customWidth="1"/>
    <col min="3331" max="3331" width="6.33203125" style="230" customWidth="1"/>
    <col min="3332" max="3332" width="5.6640625" style="230" customWidth="1"/>
    <col min="3333" max="3333" width="5.5546875" style="230" customWidth="1"/>
    <col min="3334" max="3334" width="3.6640625" style="230" customWidth="1"/>
    <col min="3335" max="3335" width="23.5546875" style="230" customWidth="1"/>
    <col min="3336" max="3336" width="9" style="230" customWidth="1"/>
    <col min="3337" max="3337" width="10.44140625" style="230" customWidth="1"/>
    <col min="3338" max="3338" width="6.6640625" style="230" customWidth="1"/>
    <col min="3339" max="3339" width="5.5546875" style="230" customWidth="1"/>
    <col min="3340" max="3340" width="4" style="230" customWidth="1"/>
    <col min="3341" max="3341" width="3.88671875" style="230" customWidth="1"/>
    <col min="3342" max="3342" width="8.6640625" style="230" customWidth="1"/>
    <col min="3343" max="3343" width="10.5546875" style="230" customWidth="1"/>
    <col min="3344" max="3344" width="11" style="230" customWidth="1"/>
    <col min="3345" max="3584" width="16" style="230"/>
    <col min="3585" max="3585" width="9" style="230" customWidth="1"/>
    <col min="3586" max="3586" width="12.6640625" style="230" customWidth="1"/>
    <col min="3587" max="3587" width="6.33203125" style="230" customWidth="1"/>
    <col min="3588" max="3588" width="5.6640625" style="230" customWidth="1"/>
    <col min="3589" max="3589" width="5.5546875" style="230" customWidth="1"/>
    <col min="3590" max="3590" width="3.6640625" style="230" customWidth="1"/>
    <col min="3591" max="3591" width="23.5546875" style="230" customWidth="1"/>
    <col min="3592" max="3592" width="9" style="230" customWidth="1"/>
    <col min="3593" max="3593" width="10.44140625" style="230" customWidth="1"/>
    <col min="3594" max="3594" width="6.6640625" style="230" customWidth="1"/>
    <col min="3595" max="3595" width="5.5546875" style="230" customWidth="1"/>
    <col min="3596" max="3596" width="4" style="230" customWidth="1"/>
    <col min="3597" max="3597" width="3.88671875" style="230" customWidth="1"/>
    <col min="3598" max="3598" width="8.6640625" style="230" customWidth="1"/>
    <col min="3599" max="3599" width="10.5546875" style="230" customWidth="1"/>
    <col min="3600" max="3600" width="11" style="230" customWidth="1"/>
    <col min="3601" max="3840" width="16" style="230"/>
    <col min="3841" max="3841" width="9" style="230" customWidth="1"/>
    <col min="3842" max="3842" width="12.6640625" style="230" customWidth="1"/>
    <col min="3843" max="3843" width="6.33203125" style="230" customWidth="1"/>
    <col min="3844" max="3844" width="5.6640625" style="230" customWidth="1"/>
    <col min="3845" max="3845" width="5.5546875" style="230" customWidth="1"/>
    <col min="3846" max="3846" width="3.6640625" style="230" customWidth="1"/>
    <col min="3847" max="3847" width="23.5546875" style="230" customWidth="1"/>
    <col min="3848" max="3848" width="9" style="230" customWidth="1"/>
    <col min="3849" max="3849" width="10.44140625" style="230" customWidth="1"/>
    <col min="3850" max="3850" width="6.6640625" style="230" customWidth="1"/>
    <col min="3851" max="3851" width="5.5546875" style="230" customWidth="1"/>
    <col min="3852" max="3852" width="4" style="230" customWidth="1"/>
    <col min="3853" max="3853" width="3.88671875" style="230" customWidth="1"/>
    <col min="3854" max="3854" width="8.6640625" style="230" customWidth="1"/>
    <col min="3855" max="3855" width="10.5546875" style="230" customWidth="1"/>
    <col min="3856" max="3856" width="11" style="230" customWidth="1"/>
    <col min="3857" max="4096" width="16" style="230"/>
    <col min="4097" max="4097" width="9" style="230" customWidth="1"/>
    <col min="4098" max="4098" width="12.6640625" style="230" customWidth="1"/>
    <col min="4099" max="4099" width="6.33203125" style="230" customWidth="1"/>
    <col min="4100" max="4100" width="5.6640625" style="230" customWidth="1"/>
    <col min="4101" max="4101" width="5.5546875" style="230" customWidth="1"/>
    <col min="4102" max="4102" width="3.6640625" style="230" customWidth="1"/>
    <col min="4103" max="4103" width="23.5546875" style="230" customWidth="1"/>
    <col min="4104" max="4104" width="9" style="230" customWidth="1"/>
    <col min="4105" max="4105" width="10.44140625" style="230" customWidth="1"/>
    <col min="4106" max="4106" width="6.6640625" style="230" customWidth="1"/>
    <col min="4107" max="4107" width="5.5546875" style="230" customWidth="1"/>
    <col min="4108" max="4108" width="4" style="230" customWidth="1"/>
    <col min="4109" max="4109" width="3.88671875" style="230" customWidth="1"/>
    <col min="4110" max="4110" width="8.6640625" style="230" customWidth="1"/>
    <col min="4111" max="4111" width="10.5546875" style="230" customWidth="1"/>
    <col min="4112" max="4112" width="11" style="230" customWidth="1"/>
    <col min="4113" max="4352" width="16" style="230"/>
    <col min="4353" max="4353" width="9" style="230" customWidth="1"/>
    <col min="4354" max="4354" width="12.6640625" style="230" customWidth="1"/>
    <col min="4355" max="4355" width="6.33203125" style="230" customWidth="1"/>
    <col min="4356" max="4356" width="5.6640625" style="230" customWidth="1"/>
    <col min="4357" max="4357" width="5.5546875" style="230" customWidth="1"/>
    <col min="4358" max="4358" width="3.6640625" style="230" customWidth="1"/>
    <col min="4359" max="4359" width="23.5546875" style="230" customWidth="1"/>
    <col min="4360" max="4360" width="9" style="230" customWidth="1"/>
    <col min="4361" max="4361" width="10.44140625" style="230" customWidth="1"/>
    <col min="4362" max="4362" width="6.6640625" style="230" customWidth="1"/>
    <col min="4363" max="4363" width="5.5546875" style="230" customWidth="1"/>
    <col min="4364" max="4364" width="4" style="230" customWidth="1"/>
    <col min="4365" max="4365" width="3.88671875" style="230" customWidth="1"/>
    <col min="4366" max="4366" width="8.6640625" style="230" customWidth="1"/>
    <col min="4367" max="4367" width="10.5546875" style="230" customWidth="1"/>
    <col min="4368" max="4368" width="11" style="230" customWidth="1"/>
    <col min="4369" max="4608" width="16" style="230"/>
    <col min="4609" max="4609" width="9" style="230" customWidth="1"/>
    <col min="4610" max="4610" width="12.6640625" style="230" customWidth="1"/>
    <col min="4611" max="4611" width="6.33203125" style="230" customWidth="1"/>
    <col min="4612" max="4612" width="5.6640625" style="230" customWidth="1"/>
    <col min="4613" max="4613" width="5.5546875" style="230" customWidth="1"/>
    <col min="4614" max="4614" width="3.6640625" style="230" customWidth="1"/>
    <col min="4615" max="4615" width="23.5546875" style="230" customWidth="1"/>
    <col min="4616" max="4616" width="9" style="230" customWidth="1"/>
    <col min="4617" max="4617" width="10.44140625" style="230" customWidth="1"/>
    <col min="4618" max="4618" width="6.6640625" style="230" customWidth="1"/>
    <col min="4619" max="4619" width="5.5546875" style="230" customWidth="1"/>
    <col min="4620" max="4620" width="4" style="230" customWidth="1"/>
    <col min="4621" max="4621" width="3.88671875" style="230" customWidth="1"/>
    <col min="4622" max="4622" width="8.6640625" style="230" customWidth="1"/>
    <col min="4623" max="4623" width="10.5546875" style="230" customWidth="1"/>
    <col min="4624" max="4624" width="11" style="230" customWidth="1"/>
    <col min="4625" max="4864" width="16" style="230"/>
    <col min="4865" max="4865" width="9" style="230" customWidth="1"/>
    <col min="4866" max="4866" width="12.6640625" style="230" customWidth="1"/>
    <col min="4867" max="4867" width="6.33203125" style="230" customWidth="1"/>
    <col min="4868" max="4868" width="5.6640625" style="230" customWidth="1"/>
    <col min="4869" max="4869" width="5.5546875" style="230" customWidth="1"/>
    <col min="4870" max="4870" width="3.6640625" style="230" customWidth="1"/>
    <col min="4871" max="4871" width="23.5546875" style="230" customWidth="1"/>
    <col min="4872" max="4872" width="9" style="230" customWidth="1"/>
    <col min="4873" max="4873" width="10.44140625" style="230" customWidth="1"/>
    <col min="4874" max="4874" width="6.6640625" style="230" customWidth="1"/>
    <col min="4875" max="4875" width="5.5546875" style="230" customWidth="1"/>
    <col min="4876" max="4876" width="4" style="230" customWidth="1"/>
    <col min="4877" max="4877" width="3.88671875" style="230" customWidth="1"/>
    <col min="4878" max="4878" width="8.6640625" style="230" customWidth="1"/>
    <col min="4879" max="4879" width="10.5546875" style="230" customWidth="1"/>
    <col min="4880" max="4880" width="11" style="230" customWidth="1"/>
    <col min="4881" max="5120" width="16" style="230"/>
    <col min="5121" max="5121" width="9" style="230" customWidth="1"/>
    <col min="5122" max="5122" width="12.6640625" style="230" customWidth="1"/>
    <col min="5123" max="5123" width="6.33203125" style="230" customWidth="1"/>
    <col min="5124" max="5124" width="5.6640625" style="230" customWidth="1"/>
    <col min="5125" max="5125" width="5.5546875" style="230" customWidth="1"/>
    <col min="5126" max="5126" width="3.6640625" style="230" customWidth="1"/>
    <col min="5127" max="5127" width="23.5546875" style="230" customWidth="1"/>
    <col min="5128" max="5128" width="9" style="230" customWidth="1"/>
    <col min="5129" max="5129" width="10.44140625" style="230" customWidth="1"/>
    <col min="5130" max="5130" width="6.6640625" style="230" customWidth="1"/>
    <col min="5131" max="5131" width="5.5546875" style="230" customWidth="1"/>
    <col min="5132" max="5132" width="4" style="230" customWidth="1"/>
    <col min="5133" max="5133" width="3.88671875" style="230" customWidth="1"/>
    <col min="5134" max="5134" width="8.6640625" style="230" customWidth="1"/>
    <col min="5135" max="5135" width="10.5546875" style="230" customWidth="1"/>
    <col min="5136" max="5136" width="11" style="230" customWidth="1"/>
    <col min="5137" max="5376" width="16" style="230"/>
    <col min="5377" max="5377" width="9" style="230" customWidth="1"/>
    <col min="5378" max="5378" width="12.6640625" style="230" customWidth="1"/>
    <col min="5379" max="5379" width="6.33203125" style="230" customWidth="1"/>
    <col min="5380" max="5380" width="5.6640625" style="230" customWidth="1"/>
    <col min="5381" max="5381" width="5.5546875" style="230" customWidth="1"/>
    <col min="5382" max="5382" width="3.6640625" style="230" customWidth="1"/>
    <col min="5383" max="5383" width="23.5546875" style="230" customWidth="1"/>
    <col min="5384" max="5384" width="9" style="230" customWidth="1"/>
    <col min="5385" max="5385" width="10.44140625" style="230" customWidth="1"/>
    <col min="5386" max="5386" width="6.6640625" style="230" customWidth="1"/>
    <col min="5387" max="5387" width="5.5546875" style="230" customWidth="1"/>
    <col min="5388" max="5388" width="4" style="230" customWidth="1"/>
    <col min="5389" max="5389" width="3.88671875" style="230" customWidth="1"/>
    <col min="5390" max="5390" width="8.6640625" style="230" customWidth="1"/>
    <col min="5391" max="5391" width="10.5546875" style="230" customWidth="1"/>
    <col min="5392" max="5392" width="11" style="230" customWidth="1"/>
    <col min="5393" max="5632" width="16" style="230"/>
    <col min="5633" max="5633" width="9" style="230" customWidth="1"/>
    <col min="5634" max="5634" width="12.6640625" style="230" customWidth="1"/>
    <col min="5635" max="5635" width="6.33203125" style="230" customWidth="1"/>
    <col min="5636" max="5636" width="5.6640625" style="230" customWidth="1"/>
    <col min="5637" max="5637" width="5.5546875" style="230" customWidth="1"/>
    <col min="5638" max="5638" width="3.6640625" style="230" customWidth="1"/>
    <col min="5639" max="5639" width="23.5546875" style="230" customWidth="1"/>
    <col min="5640" max="5640" width="9" style="230" customWidth="1"/>
    <col min="5641" max="5641" width="10.44140625" style="230" customWidth="1"/>
    <col min="5642" max="5642" width="6.6640625" style="230" customWidth="1"/>
    <col min="5643" max="5643" width="5.5546875" style="230" customWidth="1"/>
    <col min="5644" max="5644" width="4" style="230" customWidth="1"/>
    <col min="5645" max="5645" width="3.88671875" style="230" customWidth="1"/>
    <col min="5646" max="5646" width="8.6640625" style="230" customWidth="1"/>
    <col min="5647" max="5647" width="10.5546875" style="230" customWidth="1"/>
    <col min="5648" max="5648" width="11" style="230" customWidth="1"/>
    <col min="5649" max="5888" width="16" style="230"/>
    <col min="5889" max="5889" width="9" style="230" customWidth="1"/>
    <col min="5890" max="5890" width="12.6640625" style="230" customWidth="1"/>
    <col min="5891" max="5891" width="6.33203125" style="230" customWidth="1"/>
    <col min="5892" max="5892" width="5.6640625" style="230" customWidth="1"/>
    <col min="5893" max="5893" width="5.5546875" style="230" customWidth="1"/>
    <col min="5894" max="5894" width="3.6640625" style="230" customWidth="1"/>
    <col min="5895" max="5895" width="23.5546875" style="230" customWidth="1"/>
    <col min="5896" max="5896" width="9" style="230" customWidth="1"/>
    <col min="5897" max="5897" width="10.44140625" style="230" customWidth="1"/>
    <col min="5898" max="5898" width="6.6640625" style="230" customWidth="1"/>
    <col min="5899" max="5899" width="5.5546875" style="230" customWidth="1"/>
    <col min="5900" max="5900" width="4" style="230" customWidth="1"/>
    <col min="5901" max="5901" width="3.88671875" style="230" customWidth="1"/>
    <col min="5902" max="5902" width="8.6640625" style="230" customWidth="1"/>
    <col min="5903" max="5903" width="10.5546875" style="230" customWidth="1"/>
    <col min="5904" max="5904" width="11" style="230" customWidth="1"/>
    <col min="5905" max="6144" width="16" style="230"/>
    <col min="6145" max="6145" width="9" style="230" customWidth="1"/>
    <col min="6146" max="6146" width="12.6640625" style="230" customWidth="1"/>
    <col min="6147" max="6147" width="6.33203125" style="230" customWidth="1"/>
    <col min="6148" max="6148" width="5.6640625" style="230" customWidth="1"/>
    <col min="6149" max="6149" width="5.5546875" style="230" customWidth="1"/>
    <col min="6150" max="6150" width="3.6640625" style="230" customWidth="1"/>
    <col min="6151" max="6151" width="23.5546875" style="230" customWidth="1"/>
    <col min="6152" max="6152" width="9" style="230" customWidth="1"/>
    <col min="6153" max="6153" width="10.44140625" style="230" customWidth="1"/>
    <col min="6154" max="6154" width="6.6640625" style="230" customWidth="1"/>
    <col min="6155" max="6155" width="5.5546875" style="230" customWidth="1"/>
    <col min="6156" max="6156" width="4" style="230" customWidth="1"/>
    <col min="6157" max="6157" width="3.88671875" style="230" customWidth="1"/>
    <col min="6158" max="6158" width="8.6640625" style="230" customWidth="1"/>
    <col min="6159" max="6159" width="10.5546875" style="230" customWidth="1"/>
    <col min="6160" max="6160" width="11" style="230" customWidth="1"/>
    <col min="6161" max="6400" width="16" style="230"/>
    <col min="6401" max="6401" width="9" style="230" customWidth="1"/>
    <col min="6402" max="6402" width="12.6640625" style="230" customWidth="1"/>
    <col min="6403" max="6403" width="6.33203125" style="230" customWidth="1"/>
    <col min="6404" max="6404" width="5.6640625" style="230" customWidth="1"/>
    <col min="6405" max="6405" width="5.5546875" style="230" customWidth="1"/>
    <col min="6406" max="6406" width="3.6640625" style="230" customWidth="1"/>
    <col min="6407" max="6407" width="23.5546875" style="230" customWidth="1"/>
    <col min="6408" max="6408" width="9" style="230" customWidth="1"/>
    <col min="6409" max="6409" width="10.44140625" style="230" customWidth="1"/>
    <col min="6410" max="6410" width="6.6640625" style="230" customWidth="1"/>
    <col min="6411" max="6411" width="5.5546875" style="230" customWidth="1"/>
    <col min="6412" max="6412" width="4" style="230" customWidth="1"/>
    <col min="6413" max="6413" width="3.88671875" style="230" customWidth="1"/>
    <col min="6414" max="6414" width="8.6640625" style="230" customWidth="1"/>
    <col min="6415" max="6415" width="10.5546875" style="230" customWidth="1"/>
    <col min="6416" max="6416" width="11" style="230" customWidth="1"/>
    <col min="6417" max="6656" width="16" style="230"/>
    <col min="6657" max="6657" width="9" style="230" customWidth="1"/>
    <col min="6658" max="6658" width="12.6640625" style="230" customWidth="1"/>
    <col min="6659" max="6659" width="6.33203125" style="230" customWidth="1"/>
    <col min="6660" max="6660" width="5.6640625" style="230" customWidth="1"/>
    <col min="6661" max="6661" width="5.5546875" style="230" customWidth="1"/>
    <col min="6662" max="6662" width="3.6640625" style="230" customWidth="1"/>
    <col min="6663" max="6663" width="23.5546875" style="230" customWidth="1"/>
    <col min="6664" max="6664" width="9" style="230" customWidth="1"/>
    <col min="6665" max="6665" width="10.44140625" style="230" customWidth="1"/>
    <col min="6666" max="6666" width="6.6640625" style="230" customWidth="1"/>
    <col min="6667" max="6667" width="5.5546875" style="230" customWidth="1"/>
    <col min="6668" max="6668" width="4" style="230" customWidth="1"/>
    <col min="6669" max="6669" width="3.88671875" style="230" customWidth="1"/>
    <col min="6670" max="6670" width="8.6640625" style="230" customWidth="1"/>
    <col min="6671" max="6671" width="10.5546875" style="230" customWidth="1"/>
    <col min="6672" max="6672" width="11" style="230" customWidth="1"/>
    <col min="6673" max="6912" width="16" style="230"/>
    <col min="6913" max="6913" width="9" style="230" customWidth="1"/>
    <col min="6914" max="6914" width="12.6640625" style="230" customWidth="1"/>
    <col min="6915" max="6915" width="6.33203125" style="230" customWidth="1"/>
    <col min="6916" max="6916" width="5.6640625" style="230" customWidth="1"/>
    <col min="6917" max="6917" width="5.5546875" style="230" customWidth="1"/>
    <col min="6918" max="6918" width="3.6640625" style="230" customWidth="1"/>
    <col min="6919" max="6919" width="23.5546875" style="230" customWidth="1"/>
    <col min="6920" max="6920" width="9" style="230" customWidth="1"/>
    <col min="6921" max="6921" width="10.44140625" style="230" customWidth="1"/>
    <col min="6922" max="6922" width="6.6640625" style="230" customWidth="1"/>
    <col min="6923" max="6923" width="5.5546875" style="230" customWidth="1"/>
    <col min="6924" max="6924" width="4" style="230" customWidth="1"/>
    <col min="6925" max="6925" width="3.88671875" style="230" customWidth="1"/>
    <col min="6926" max="6926" width="8.6640625" style="230" customWidth="1"/>
    <col min="6927" max="6927" width="10.5546875" style="230" customWidth="1"/>
    <col min="6928" max="6928" width="11" style="230" customWidth="1"/>
    <col min="6929" max="7168" width="16" style="230"/>
    <col min="7169" max="7169" width="9" style="230" customWidth="1"/>
    <col min="7170" max="7170" width="12.6640625" style="230" customWidth="1"/>
    <col min="7171" max="7171" width="6.33203125" style="230" customWidth="1"/>
    <col min="7172" max="7172" width="5.6640625" style="230" customWidth="1"/>
    <col min="7173" max="7173" width="5.5546875" style="230" customWidth="1"/>
    <col min="7174" max="7174" width="3.6640625" style="230" customWidth="1"/>
    <col min="7175" max="7175" width="23.5546875" style="230" customWidth="1"/>
    <col min="7176" max="7176" width="9" style="230" customWidth="1"/>
    <col min="7177" max="7177" width="10.44140625" style="230" customWidth="1"/>
    <col min="7178" max="7178" width="6.6640625" style="230" customWidth="1"/>
    <col min="7179" max="7179" width="5.5546875" style="230" customWidth="1"/>
    <col min="7180" max="7180" width="4" style="230" customWidth="1"/>
    <col min="7181" max="7181" width="3.88671875" style="230" customWidth="1"/>
    <col min="7182" max="7182" width="8.6640625" style="230" customWidth="1"/>
    <col min="7183" max="7183" width="10.5546875" style="230" customWidth="1"/>
    <col min="7184" max="7184" width="11" style="230" customWidth="1"/>
    <col min="7185" max="7424" width="16" style="230"/>
    <col min="7425" max="7425" width="9" style="230" customWidth="1"/>
    <col min="7426" max="7426" width="12.6640625" style="230" customWidth="1"/>
    <col min="7427" max="7427" width="6.33203125" style="230" customWidth="1"/>
    <col min="7428" max="7428" width="5.6640625" style="230" customWidth="1"/>
    <col min="7429" max="7429" width="5.5546875" style="230" customWidth="1"/>
    <col min="7430" max="7430" width="3.6640625" style="230" customWidth="1"/>
    <col min="7431" max="7431" width="23.5546875" style="230" customWidth="1"/>
    <col min="7432" max="7432" width="9" style="230" customWidth="1"/>
    <col min="7433" max="7433" width="10.44140625" style="230" customWidth="1"/>
    <col min="7434" max="7434" width="6.6640625" style="230" customWidth="1"/>
    <col min="7435" max="7435" width="5.5546875" style="230" customWidth="1"/>
    <col min="7436" max="7436" width="4" style="230" customWidth="1"/>
    <col min="7437" max="7437" width="3.88671875" style="230" customWidth="1"/>
    <col min="7438" max="7438" width="8.6640625" style="230" customWidth="1"/>
    <col min="7439" max="7439" width="10.5546875" style="230" customWidth="1"/>
    <col min="7440" max="7440" width="11" style="230" customWidth="1"/>
    <col min="7441" max="7680" width="16" style="230"/>
    <col min="7681" max="7681" width="9" style="230" customWidth="1"/>
    <col min="7682" max="7682" width="12.6640625" style="230" customWidth="1"/>
    <col min="7683" max="7683" width="6.33203125" style="230" customWidth="1"/>
    <col min="7684" max="7684" width="5.6640625" style="230" customWidth="1"/>
    <col min="7685" max="7685" width="5.5546875" style="230" customWidth="1"/>
    <col min="7686" max="7686" width="3.6640625" style="230" customWidth="1"/>
    <col min="7687" max="7687" width="23.5546875" style="230" customWidth="1"/>
    <col min="7688" max="7688" width="9" style="230" customWidth="1"/>
    <col min="7689" max="7689" width="10.44140625" style="230" customWidth="1"/>
    <col min="7690" max="7690" width="6.6640625" style="230" customWidth="1"/>
    <col min="7691" max="7691" width="5.5546875" style="230" customWidth="1"/>
    <col min="7692" max="7692" width="4" style="230" customWidth="1"/>
    <col min="7693" max="7693" width="3.88671875" style="230" customWidth="1"/>
    <col min="7694" max="7694" width="8.6640625" style="230" customWidth="1"/>
    <col min="7695" max="7695" width="10.5546875" style="230" customWidth="1"/>
    <col min="7696" max="7696" width="11" style="230" customWidth="1"/>
    <col min="7697" max="7936" width="16" style="230"/>
    <col min="7937" max="7937" width="9" style="230" customWidth="1"/>
    <col min="7938" max="7938" width="12.6640625" style="230" customWidth="1"/>
    <col min="7939" max="7939" width="6.33203125" style="230" customWidth="1"/>
    <col min="7940" max="7940" width="5.6640625" style="230" customWidth="1"/>
    <col min="7941" max="7941" width="5.5546875" style="230" customWidth="1"/>
    <col min="7942" max="7942" width="3.6640625" style="230" customWidth="1"/>
    <col min="7943" max="7943" width="23.5546875" style="230" customWidth="1"/>
    <col min="7944" max="7944" width="9" style="230" customWidth="1"/>
    <col min="7945" max="7945" width="10.44140625" style="230" customWidth="1"/>
    <col min="7946" max="7946" width="6.6640625" style="230" customWidth="1"/>
    <col min="7947" max="7947" width="5.5546875" style="230" customWidth="1"/>
    <col min="7948" max="7948" width="4" style="230" customWidth="1"/>
    <col min="7949" max="7949" width="3.88671875" style="230" customWidth="1"/>
    <col min="7950" max="7950" width="8.6640625" style="230" customWidth="1"/>
    <col min="7951" max="7951" width="10.5546875" style="230" customWidth="1"/>
    <col min="7952" max="7952" width="11" style="230" customWidth="1"/>
    <col min="7953" max="8192" width="16" style="230"/>
    <col min="8193" max="8193" width="9" style="230" customWidth="1"/>
    <col min="8194" max="8194" width="12.6640625" style="230" customWidth="1"/>
    <col min="8195" max="8195" width="6.33203125" style="230" customWidth="1"/>
    <col min="8196" max="8196" width="5.6640625" style="230" customWidth="1"/>
    <col min="8197" max="8197" width="5.5546875" style="230" customWidth="1"/>
    <col min="8198" max="8198" width="3.6640625" style="230" customWidth="1"/>
    <col min="8199" max="8199" width="23.5546875" style="230" customWidth="1"/>
    <col min="8200" max="8200" width="9" style="230" customWidth="1"/>
    <col min="8201" max="8201" width="10.44140625" style="230" customWidth="1"/>
    <col min="8202" max="8202" width="6.6640625" style="230" customWidth="1"/>
    <col min="8203" max="8203" width="5.5546875" style="230" customWidth="1"/>
    <col min="8204" max="8204" width="4" style="230" customWidth="1"/>
    <col min="8205" max="8205" width="3.88671875" style="230" customWidth="1"/>
    <col min="8206" max="8206" width="8.6640625" style="230" customWidth="1"/>
    <col min="8207" max="8207" width="10.5546875" style="230" customWidth="1"/>
    <col min="8208" max="8208" width="11" style="230" customWidth="1"/>
    <col min="8209" max="8448" width="16" style="230"/>
    <col min="8449" max="8449" width="9" style="230" customWidth="1"/>
    <col min="8450" max="8450" width="12.6640625" style="230" customWidth="1"/>
    <col min="8451" max="8451" width="6.33203125" style="230" customWidth="1"/>
    <col min="8452" max="8452" width="5.6640625" style="230" customWidth="1"/>
    <col min="8453" max="8453" width="5.5546875" style="230" customWidth="1"/>
    <col min="8454" max="8454" width="3.6640625" style="230" customWidth="1"/>
    <col min="8455" max="8455" width="23.5546875" style="230" customWidth="1"/>
    <col min="8456" max="8456" width="9" style="230" customWidth="1"/>
    <col min="8457" max="8457" width="10.44140625" style="230" customWidth="1"/>
    <col min="8458" max="8458" width="6.6640625" style="230" customWidth="1"/>
    <col min="8459" max="8459" width="5.5546875" style="230" customWidth="1"/>
    <col min="8460" max="8460" width="4" style="230" customWidth="1"/>
    <col min="8461" max="8461" width="3.88671875" style="230" customWidth="1"/>
    <col min="8462" max="8462" width="8.6640625" style="230" customWidth="1"/>
    <col min="8463" max="8463" width="10.5546875" style="230" customWidth="1"/>
    <col min="8464" max="8464" width="11" style="230" customWidth="1"/>
    <col min="8465" max="8704" width="16" style="230"/>
    <col min="8705" max="8705" width="9" style="230" customWidth="1"/>
    <col min="8706" max="8706" width="12.6640625" style="230" customWidth="1"/>
    <col min="8707" max="8707" width="6.33203125" style="230" customWidth="1"/>
    <col min="8708" max="8708" width="5.6640625" style="230" customWidth="1"/>
    <col min="8709" max="8709" width="5.5546875" style="230" customWidth="1"/>
    <col min="8710" max="8710" width="3.6640625" style="230" customWidth="1"/>
    <col min="8711" max="8711" width="23.5546875" style="230" customWidth="1"/>
    <col min="8712" max="8712" width="9" style="230" customWidth="1"/>
    <col min="8713" max="8713" width="10.44140625" style="230" customWidth="1"/>
    <col min="8714" max="8714" width="6.6640625" style="230" customWidth="1"/>
    <col min="8715" max="8715" width="5.5546875" style="230" customWidth="1"/>
    <col min="8716" max="8716" width="4" style="230" customWidth="1"/>
    <col min="8717" max="8717" width="3.88671875" style="230" customWidth="1"/>
    <col min="8718" max="8718" width="8.6640625" style="230" customWidth="1"/>
    <col min="8719" max="8719" width="10.5546875" style="230" customWidth="1"/>
    <col min="8720" max="8720" width="11" style="230" customWidth="1"/>
    <col min="8721" max="8960" width="16" style="230"/>
    <col min="8961" max="8961" width="9" style="230" customWidth="1"/>
    <col min="8962" max="8962" width="12.6640625" style="230" customWidth="1"/>
    <col min="8963" max="8963" width="6.33203125" style="230" customWidth="1"/>
    <col min="8964" max="8964" width="5.6640625" style="230" customWidth="1"/>
    <col min="8965" max="8965" width="5.5546875" style="230" customWidth="1"/>
    <col min="8966" max="8966" width="3.6640625" style="230" customWidth="1"/>
    <col min="8967" max="8967" width="23.5546875" style="230" customWidth="1"/>
    <col min="8968" max="8968" width="9" style="230" customWidth="1"/>
    <col min="8969" max="8969" width="10.44140625" style="230" customWidth="1"/>
    <col min="8970" max="8970" width="6.6640625" style="230" customWidth="1"/>
    <col min="8971" max="8971" width="5.5546875" style="230" customWidth="1"/>
    <col min="8972" max="8972" width="4" style="230" customWidth="1"/>
    <col min="8973" max="8973" width="3.88671875" style="230" customWidth="1"/>
    <col min="8974" max="8974" width="8.6640625" style="230" customWidth="1"/>
    <col min="8975" max="8975" width="10.5546875" style="230" customWidth="1"/>
    <col min="8976" max="8976" width="11" style="230" customWidth="1"/>
    <col min="8977" max="9216" width="16" style="230"/>
    <col min="9217" max="9217" width="9" style="230" customWidth="1"/>
    <col min="9218" max="9218" width="12.6640625" style="230" customWidth="1"/>
    <col min="9219" max="9219" width="6.33203125" style="230" customWidth="1"/>
    <col min="9220" max="9220" width="5.6640625" style="230" customWidth="1"/>
    <col min="9221" max="9221" width="5.5546875" style="230" customWidth="1"/>
    <col min="9222" max="9222" width="3.6640625" style="230" customWidth="1"/>
    <col min="9223" max="9223" width="23.5546875" style="230" customWidth="1"/>
    <col min="9224" max="9224" width="9" style="230" customWidth="1"/>
    <col min="9225" max="9225" width="10.44140625" style="230" customWidth="1"/>
    <col min="9226" max="9226" width="6.6640625" style="230" customWidth="1"/>
    <col min="9227" max="9227" width="5.5546875" style="230" customWidth="1"/>
    <col min="9228" max="9228" width="4" style="230" customWidth="1"/>
    <col min="9229" max="9229" width="3.88671875" style="230" customWidth="1"/>
    <col min="9230" max="9230" width="8.6640625" style="230" customWidth="1"/>
    <col min="9231" max="9231" width="10.5546875" style="230" customWidth="1"/>
    <col min="9232" max="9232" width="11" style="230" customWidth="1"/>
    <col min="9233" max="9472" width="16" style="230"/>
    <col min="9473" max="9473" width="9" style="230" customWidth="1"/>
    <col min="9474" max="9474" width="12.6640625" style="230" customWidth="1"/>
    <col min="9475" max="9475" width="6.33203125" style="230" customWidth="1"/>
    <col min="9476" max="9476" width="5.6640625" style="230" customWidth="1"/>
    <col min="9477" max="9477" width="5.5546875" style="230" customWidth="1"/>
    <col min="9478" max="9478" width="3.6640625" style="230" customWidth="1"/>
    <col min="9479" max="9479" width="23.5546875" style="230" customWidth="1"/>
    <col min="9480" max="9480" width="9" style="230" customWidth="1"/>
    <col min="9481" max="9481" width="10.44140625" style="230" customWidth="1"/>
    <col min="9482" max="9482" width="6.6640625" style="230" customWidth="1"/>
    <col min="9483" max="9483" width="5.5546875" style="230" customWidth="1"/>
    <col min="9484" max="9484" width="4" style="230" customWidth="1"/>
    <col min="9485" max="9485" width="3.88671875" style="230" customWidth="1"/>
    <col min="9486" max="9486" width="8.6640625" style="230" customWidth="1"/>
    <col min="9487" max="9487" width="10.5546875" style="230" customWidth="1"/>
    <col min="9488" max="9488" width="11" style="230" customWidth="1"/>
    <col min="9489" max="9728" width="16" style="230"/>
    <col min="9729" max="9729" width="9" style="230" customWidth="1"/>
    <col min="9730" max="9730" width="12.6640625" style="230" customWidth="1"/>
    <col min="9731" max="9731" width="6.33203125" style="230" customWidth="1"/>
    <col min="9732" max="9732" width="5.6640625" style="230" customWidth="1"/>
    <col min="9733" max="9733" width="5.5546875" style="230" customWidth="1"/>
    <col min="9734" max="9734" width="3.6640625" style="230" customWidth="1"/>
    <col min="9735" max="9735" width="23.5546875" style="230" customWidth="1"/>
    <col min="9736" max="9736" width="9" style="230" customWidth="1"/>
    <col min="9737" max="9737" width="10.44140625" style="230" customWidth="1"/>
    <col min="9738" max="9738" width="6.6640625" style="230" customWidth="1"/>
    <col min="9739" max="9739" width="5.5546875" style="230" customWidth="1"/>
    <col min="9740" max="9740" width="4" style="230" customWidth="1"/>
    <col min="9741" max="9741" width="3.88671875" style="230" customWidth="1"/>
    <col min="9742" max="9742" width="8.6640625" style="230" customWidth="1"/>
    <col min="9743" max="9743" width="10.5546875" style="230" customWidth="1"/>
    <col min="9744" max="9744" width="11" style="230" customWidth="1"/>
    <col min="9745" max="9984" width="16" style="230"/>
    <col min="9985" max="9985" width="9" style="230" customWidth="1"/>
    <col min="9986" max="9986" width="12.6640625" style="230" customWidth="1"/>
    <col min="9987" max="9987" width="6.33203125" style="230" customWidth="1"/>
    <col min="9988" max="9988" width="5.6640625" style="230" customWidth="1"/>
    <col min="9989" max="9989" width="5.5546875" style="230" customWidth="1"/>
    <col min="9990" max="9990" width="3.6640625" style="230" customWidth="1"/>
    <col min="9991" max="9991" width="23.5546875" style="230" customWidth="1"/>
    <col min="9992" max="9992" width="9" style="230" customWidth="1"/>
    <col min="9993" max="9993" width="10.44140625" style="230" customWidth="1"/>
    <col min="9994" max="9994" width="6.6640625" style="230" customWidth="1"/>
    <col min="9995" max="9995" width="5.5546875" style="230" customWidth="1"/>
    <col min="9996" max="9996" width="4" style="230" customWidth="1"/>
    <col min="9997" max="9997" width="3.88671875" style="230" customWidth="1"/>
    <col min="9998" max="9998" width="8.6640625" style="230" customWidth="1"/>
    <col min="9999" max="9999" width="10.5546875" style="230" customWidth="1"/>
    <col min="10000" max="10000" width="11" style="230" customWidth="1"/>
    <col min="10001" max="10240" width="16" style="230"/>
    <col min="10241" max="10241" width="9" style="230" customWidth="1"/>
    <col min="10242" max="10242" width="12.6640625" style="230" customWidth="1"/>
    <col min="10243" max="10243" width="6.33203125" style="230" customWidth="1"/>
    <col min="10244" max="10244" width="5.6640625" style="230" customWidth="1"/>
    <col min="10245" max="10245" width="5.5546875" style="230" customWidth="1"/>
    <col min="10246" max="10246" width="3.6640625" style="230" customWidth="1"/>
    <col min="10247" max="10247" width="23.5546875" style="230" customWidth="1"/>
    <col min="10248" max="10248" width="9" style="230" customWidth="1"/>
    <col min="10249" max="10249" width="10.44140625" style="230" customWidth="1"/>
    <col min="10250" max="10250" width="6.6640625" style="230" customWidth="1"/>
    <col min="10251" max="10251" width="5.5546875" style="230" customWidth="1"/>
    <col min="10252" max="10252" width="4" style="230" customWidth="1"/>
    <col min="10253" max="10253" width="3.88671875" style="230" customWidth="1"/>
    <col min="10254" max="10254" width="8.6640625" style="230" customWidth="1"/>
    <col min="10255" max="10255" width="10.5546875" style="230" customWidth="1"/>
    <col min="10256" max="10256" width="11" style="230" customWidth="1"/>
    <col min="10257" max="10496" width="16" style="230"/>
    <col min="10497" max="10497" width="9" style="230" customWidth="1"/>
    <col min="10498" max="10498" width="12.6640625" style="230" customWidth="1"/>
    <col min="10499" max="10499" width="6.33203125" style="230" customWidth="1"/>
    <col min="10500" max="10500" width="5.6640625" style="230" customWidth="1"/>
    <col min="10501" max="10501" width="5.5546875" style="230" customWidth="1"/>
    <col min="10502" max="10502" width="3.6640625" style="230" customWidth="1"/>
    <col min="10503" max="10503" width="23.5546875" style="230" customWidth="1"/>
    <col min="10504" max="10504" width="9" style="230" customWidth="1"/>
    <col min="10505" max="10505" width="10.44140625" style="230" customWidth="1"/>
    <col min="10506" max="10506" width="6.6640625" style="230" customWidth="1"/>
    <col min="10507" max="10507" width="5.5546875" style="230" customWidth="1"/>
    <col min="10508" max="10508" width="4" style="230" customWidth="1"/>
    <col min="10509" max="10509" width="3.88671875" style="230" customWidth="1"/>
    <col min="10510" max="10510" width="8.6640625" style="230" customWidth="1"/>
    <col min="10511" max="10511" width="10.5546875" style="230" customWidth="1"/>
    <col min="10512" max="10512" width="11" style="230" customWidth="1"/>
    <col min="10513" max="10752" width="16" style="230"/>
    <col min="10753" max="10753" width="9" style="230" customWidth="1"/>
    <col min="10754" max="10754" width="12.6640625" style="230" customWidth="1"/>
    <col min="10755" max="10755" width="6.33203125" style="230" customWidth="1"/>
    <col min="10756" max="10756" width="5.6640625" style="230" customWidth="1"/>
    <col min="10757" max="10757" width="5.5546875" style="230" customWidth="1"/>
    <col min="10758" max="10758" width="3.6640625" style="230" customWidth="1"/>
    <col min="10759" max="10759" width="23.5546875" style="230" customWidth="1"/>
    <col min="10760" max="10760" width="9" style="230" customWidth="1"/>
    <col min="10761" max="10761" width="10.44140625" style="230" customWidth="1"/>
    <col min="10762" max="10762" width="6.6640625" style="230" customWidth="1"/>
    <col min="10763" max="10763" width="5.5546875" style="230" customWidth="1"/>
    <col min="10764" max="10764" width="4" style="230" customWidth="1"/>
    <col min="10765" max="10765" width="3.88671875" style="230" customWidth="1"/>
    <col min="10766" max="10766" width="8.6640625" style="230" customWidth="1"/>
    <col min="10767" max="10767" width="10.5546875" style="230" customWidth="1"/>
    <col min="10768" max="10768" width="11" style="230" customWidth="1"/>
    <col min="10769" max="11008" width="16" style="230"/>
    <col min="11009" max="11009" width="9" style="230" customWidth="1"/>
    <col min="11010" max="11010" width="12.6640625" style="230" customWidth="1"/>
    <col min="11011" max="11011" width="6.33203125" style="230" customWidth="1"/>
    <col min="11012" max="11012" width="5.6640625" style="230" customWidth="1"/>
    <col min="11013" max="11013" width="5.5546875" style="230" customWidth="1"/>
    <col min="11014" max="11014" width="3.6640625" style="230" customWidth="1"/>
    <col min="11015" max="11015" width="23.5546875" style="230" customWidth="1"/>
    <col min="11016" max="11016" width="9" style="230" customWidth="1"/>
    <col min="11017" max="11017" width="10.44140625" style="230" customWidth="1"/>
    <col min="11018" max="11018" width="6.6640625" style="230" customWidth="1"/>
    <col min="11019" max="11019" width="5.5546875" style="230" customWidth="1"/>
    <col min="11020" max="11020" width="4" style="230" customWidth="1"/>
    <col min="11021" max="11021" width="3.88671875" style="230" customWidth="1"/>
    <col min="11022" max="11022" width="8.6640625" style="230" customWidth="1"/>
    <col min="11023" max="11023" width="10.5546875" style="230" customWidth="1"/>
    <col min="11024" max="11024" width="11" style="230" customWidth="1"/>
    <col min="11025" max="11264" width="16" style="230"/>
    <col min="11265" max="11265" width="9" style="230" customWidth="1"/>
    <col min="11266" max="11266" width="12.6640625" style="230" customWidth="1"/>
    <col min="11267" max="11267" width="6.33203125" style="230" customWidth="1"/>
    <col min="11268" max="11268" width="5.6640625" style="230" customWidth="1"/>
    <col min="11269" max="11269" width="5.5546875" style="230" customWidth="1"/>
    <col min="11270" max="11270" width="3.6640625" style="230" customWidth="1"/>
    <col min="11271" max="11271" width="23.5546875" style="230" customWidth="1"/>
    <col min="11272" max="11272" width="9" style="230" customWidth="1"/>
    <col min="11273" max="11273" width="10.44140625" style="230" customWidth="1"/>
    <col min="11274" max="11274" width="6.6640625" style="230" customWidth="1"/>
    <col min="11275" max="11275" width="5.5546875" style="230" customWidth="1"/>
    <col min="11276" max="11276" width="4" style="230" customWidth="1"/>
    <col min="11277" max="11277" width="3.88671875" style="230" customWidth="1"/>
    <col min="11278" max="11278" width="8.6640625" style="230" customWidth="1"/>
    <col min="11279" max="11279" width="10.5546875" style="230" customWidth="1"/>
    <col min="11280" max="11280" width="11" style="230" customWidth="1"/>
    <col min="11281" max="11520" width="16" style="230"/>
    <col min="11521" max="11521" width="9" style="230" customWidth="1"/>
    <col min="11522" max="11522" width="12.6640625" style="230" customWidth="1"/>
    <col min="11523" max="11523" width="6.33203125" style="230" customWidth="1"/>
    <col min="11524" max="11524" width="5.6640625" style="230" customWidth="1"/>
    <col min="11525" max="11525" width="5.5546875" style="230" customWidth="1"/>
    <col min="11526" max="11526" width="3.6640625" style="230" customWidth="1"/>
    <col min="11527" max="11527" width="23.5546875" style="230" customWidth="1"/>
    <col min="11528" max="11528" width="9" style="230" customWidth="1"/>
    <col min="11529" max="11529" width="10.44140625" style="230" customWidth="1"/>
    <col min="11530" max="11530" width="6.6640625" style="230" customWidth="1"/>
    <col min="11531" max="11531" width="5.5546875" style="230" customWidth="1"/>
    <col min="11532" max="11532" width="4" style="230" customWidth="1"/>
    <col min="11533" max="11533" width="3.88671875" style="230" customWidth="1"/>
    <col min="11534" max="11534" width="8.6640625" style="230" customWidth="1"/>
    <col min="11535" max="11535" width="10.5546875" style="230" customWidth="1"/>
    <col min="11536" max="11536" width="11" style="230" customWidth="1"/>
    <col min="11537" max="11776" width="16" style="230"/>
    <col min="11777" max="11777" width="9" style="230" customWidth="1"/>
    <col min="11778" max="11778" width="12.6640625" style="230" customWidth="1"/>
    <col min="11779" max="11779" width="6.33203125" style="230" customWidth="1"/>
    <col min="11780" max="11780" width="5.6640625" style="230" customWidth="1"/>
    <col min="11781" max="11781" width="5.5546875" style="230" customWidth="1"/>
    <col min="11782" max="11782" width="3.6640625" style="230" customWidth="1"/>
    <col min="11783" max="11783" width="23.5546875" style="230" customWidth="1"/>
    <col min="11784" max="11784" width="9" style="230" customWidth="1"/>
    <col min="11785" max="11785" width="10.44140625" style="230" customWidth="1"/>
    <col min="11786" max="11786" width="6.6640625" style="230" customWidth="1"/>
    <col min="11787" max="11787" width="5.5546875" style="230" customWidth="1"/>
    <col min="11788" max="11788" width="4" style="230" customWidth="1"/>
    <col min="11789" max="11789" width="3.88671875" style="230" customWidth="1"/>
    <col min="11790" max="11790" width="8.6640625" style="230" customWidth="1"/>
    <col min="11791" max="11791" width="10.5546875" style="230" customWidth="1"/>
    <col min="11792" max="11792" width="11" style="230" customWidth="1"/>
    <col min="11793" max="12032" width="16" style="230"/>
    <col min="12033" max="12033" width="9" style="230" customWidth="1"/>
    <col min="12034" max="12034" width="12.6640625" style="230" customWidth="1"/>
    <col min="12035" max="12035" width="6.33203125" style="230" customWidth="1"/>
    <col min="12036" max="12036" width="5.6640625" style="230" customWidth="1"/>
    <col min="12037" max="12037" width="5.5546875" style="230" customWidth="1"/>
    <col min="12038" max="12038" width="3.6640625" style="230" customWidth="1"/>
    <col min="12039" max="12039" width="23.5546875" style="230" customWidth="1"/>
    <col min="12040" max="12040" width="9" style="230" customWidth="1"/>
    <col min="12041" max="12041" width="10.44140625" style="230" customWidth="1"/>
    <col min="12042" max="12042" width="6.6640625" style="230" customWidth="1"/>
    <col min="12043" max="12043" width="5.5546875" style="230" customWidth="1"/>
    <col min="12044" max="12044" width="4" style="230" customWidth="1"/>
    <col min="12045" max="12045" width="3.88671875" style="230" customWidth="1"/>
    <col min="12046" max="12046" width="8.6640625" style="230" customWidth="1"/>
    <col min="12047" max="12047" width="10.5546875" style="230" customWidth="1"/>
    <col min="12048" max="12048" width="11" style="230" customWidth="1"/>
    <col min="12049" max="12288" width="16" style="230"/>
    <col min="12289" max="12289" width="9" style="230" customWidth="1"/>
    <col min="12290" max="12290" width="12.6640625" style="230" customWidth="1"/>
    <col min="12291" max="12291" width="6.33203125" style="230" customWidth="1"/>
    <col min="12292" max="12292" width="5.6640625" style="230" customWidth="1"/>
    <col min="12293" max="12293" width="5.5546875" style="230" customWidth="1"/>
    <col min="12294" max="12294" width="3.6640625" style="230" customWidth="1"/>
    <col min="12295" max="12295" width="23.5546875" style="230" customWidth="1"/>
    <col min="12296" max="12296" width="9" style="230" customWidth="1"/>
    <col min="12297" max="12297" width="10.44140625" style="230" customWidth="1"/>
    <col min="12298" max="12298" width="6.6640625" style="230" customWidth="1"/>
    <col min="12299" max="12299" width="5.5546875" style="230" customWidth="1"/>
    <col min="12300" max="12300" width="4" style="230" customWidth="1"/>
    <col min="12301" max="12301" width="3.88671875" style="230" customWidth="1"/>
    <col min="12302" max="12302" width="8.6640625" style="230" customWidth="1"/>
    <col min="12303" max="12303" width="10.5546875" style="230" customWidth="1"/>
    <col min="12304" max="12304" width="11" style="230" customWidth="1"/>
    <col min="12305" max="12544" width="16" style="230"/>
    <col min="12545" max="12545" width="9" style="230" customWidth="1"/>
    <col min="12546" max="12546" width="12.6640625" style="230" customWidth="1"/>
    <col min="12547" max="12547" width="6.33203125" style="230" customWidth="1"/>
    <col min="12548" max="12548" width="5.6640625" style="230" customWidth="1"/>
    <col min="12549" max="12549" width="5.5546875" style="230" customWidth="1"/>
    <col min="12550" max="12550" width="3.6640625" style="230" customWidth="1"/>
    <col min="12551" max="12551" width="23.5546875" style="230" customWidth="1"/>
    <col min="12552" max="12552" width="9" style="230" customWidth="1"/>
    <col min="12553" max="12553" width="10.44140625" style="230" customWidth="1"/>
    <col min="12554" max="12554" width="6.6640625" style="230" customWidth="1"/>
    <col min="12555" max="12555" width="5.5546875" style="230" customWidth="1"/>
    <col min="12556" max="12556" width="4" style="230" customWidth="1"/>
    <col min="12557" max="12557" width="3.88671875" style="230" customWidth="1"/>
    <col min="12558" max="12558" width="8.6640625" style="230" customWidth="1"/>
    <col min="12559" max="12559" width="10.5546875" style="230" customWidth="1"/>
    <col min="12560" max="12560" width="11" style="230" customWidth="1"/>
    <col min="12561" max="12800" width="16" style="230"/>
    <col min="12801" max="12801" width="9" style="230" customWidth="1"/>
    <col min="12802" max="12802" width="12.6640625" style="230" customWidth="1"/>
    <col min="12803" max="12803" width="6.33203125" style="230" customWidth="1"/>
    <col min="12804" max="12804" width="5.6640625" style="230" customWidth="1"/>
    <col min="12805" max="12805" width="5.5546875" style="230" customWidth="1"/>
    <col min="12806" max="12806" width="3.6640625" style="230" customWidth="1"/>
    <col min="12807" max="12807" width="23.5546875" style="230" customWidth="1"/>
    <col min="12808" max="12808" width="9" style="230" customWidth="1"/>
    <col min="12809" max="12809" width="10.44140625" style="230" customWidth="1"/>
    <col min="12810" max="12810" width="6.6640625" style="230" customWidth="1"/>
    <col min="12811" max="12811" width="5.5546875" style="230" customWidth="1"/>
    <col min="12812" max="12812" width="4" style="230" customWidth="1"/>
    <col min="12813" max="12813" width="3.88671875" style="230" customWidth="1"/>
    <col min="12814" max="12814" width="8.6640625" style="230" customWidth="1"/>
    <col min="12815" max="12815" width="10.5546875" style="230" customWidth="1"/>
    <col min="12816" max="12816" width="11" style="230" customWidth="1"/>
    <col min="12817" max="13056" width="16" style="230"/>
    <col min="13057" max="13057" width="9" style="230" customWidth="1"/>
    <col min="13058" max="13058" width="12.6640625" style="230" customWidth="1"/>
    <col min="13059" max="13059" width="6.33203125" style="230" customWidth="1"/>
    <col min="13060" max="13060" width="5.6640625" style="230" customWidth="1"/>
    <col min="13061" max="13061" width="5.5546875" style="230" customWidth="1"/>
    <col min="13062" max="13062" width="3.6640625" style="230" customWidth="1"/>
    <col min="13063" max="13063" width="23.5546875" style="230" customWidth="1"/>
    <col min="13064" max="13064" width="9" style="230" customWidth="1"/>
    <col min="13065" max="13065" width="10.44140625" style="230" customWidth="1"/>
    <col min="13066" max="13066" width="6.6640625" style="230" customWidth="1"/>
    <col min="13067" max="13067" width="5.5546875" style="230" customWidth="1"/>
    <col min="13068" max="13068" width="4" style="230" customWidth="1"/>
    <col min="13069" max="13069" width="3.88671875" style="230" customWidth="1"/>
    <col min="13070" max="13070" width="8.6640625" style="230" customWidth="1"/>
    <col min="13071" max="13071" width="10.5546875" style="230" customWidth="1"/>
    <col min="13072" max="13072" width="11" style="230" customWidth="1"/>
    <col min="13073" max="13312" width="16" style="230"/>
    <col min="13313" max="13313" width="9" style="230" customWidth="1"/>
    <col min="13314" max="13314" width="12.6640625" style="230" customWidth="1"/>
    <col min="13315" max="13315" width="6.33203125" style="230" customWidth="1"/>
    <col min="13316" max="13316" width="5.6640625" style="230" customWidth="1"/>
    <col min="13317" max="13317" width="5.5546875" style="230" customWidth="1"/>
    <col min="13318" max="13318" width="3.6640625" style="230" customWidth="1"/>
    <col min="13319" max="13319" width="23.5546875" style="230" customWidth="1"/>
    <col min="13320" max="13320" width="9" style="230" customWidth="1"/>
    <col min="13321" max="13321" width="10.44140625" style="230" customWidth="1"/>
    <col min="13322" max="13322" width="6.6640625" style="230" customWidth="1"/>
    <col min="13323" max="13323" width="5.5546875" style="230" customWidth="1"/>
    <col min="13324" max="13324" width="4" style="230" customWidth="1"/>
    <col min="13325" max="13325" width="3.88671875" style="230" customWidth="1"/>
    <col min="13326" max="13326" width="8.6640625" style="230" customWidth="1"/>
    <col min="13327" max="13327" width="10.5546875" style="230" customWidth="1"/>
    <col min="13328" max="13328" width="11" style="230" customWidth="1"/>
    <col min="13329" max="13568" width="16" style="230"/>
    <col min="13569" max="13569" width="9" style="230" customWidth="1"/>
    <col min="13570" max="13570" width="12.6640625" style="230" customWidth="1"/>
    <col min="13571" max="13571" width="6.33203125" style="230" customWidth="1"/>
    <col min="13572" max="13572" width="5.6640625" style="230" customWidth="1"/>
    <col min="13573" max="13573" width="5.5546875" style="230" customWidth="1"/>
    <col min="13574" max="13574" width="3.6640625" style="230" customWidth="1"/>
    <col min="13575" max="13575" width="23.5546875" style="230" customWidth="1"/>
    <col min="13576" max="13576" width="9" style="230" customWidth="1"/>
    <col min="13577" max="13577" width="10.44140625" style="230" customWidth="1"/>
    <col min="13578" max="13578" width="6.6640625" style="230" customWidth="1"/>
    <col min="13579" max="13579" width="5.5546875" style="230" customWidth="1"/>
    <col min="13580" max="13580" width="4" style="230" customWidth="1"/>
    <col min="13581" max="13581" width="3.88671875" style="230" customWidth="1"/>
    <col min="13582" max="13582" width="8.6640625" style="230" customWidth="1"/>
    <col min="13583" max="13583" width="10.5546875" style="230" customWidth="1"/>
    <col min="13584" max="13584" width="11" style="230" customWidth="1"/>
    <col min="13585" max="13824" width="16" style="230"/>
    <col min="13825" max="13825" width="9" style="230" customWidth="1"/>
    <col min="13826" max="13826" width="12.6640625" style="230" customWidth="1"/>
    <col min="13827" max="13827" width="6.33203125" style="230" customWidth="1"/>
    <col min="13828" max="13828" width="5.6640625" style="230" customWidth="1"/>
    <col min="13829" max="13829" width="5.5546875" style="230" customWidth="1"/>
    <col min="13830" max="13830" width="3.6640625" style="230" customWidth="1"/>
    <col min="13831" max="13831" width="23.5546875" style="230" customWidth="1"/>
    <col min="13832" max="13832" width="9" style="230" customWidth="1"/>
    <col min="13833" max="13833" width="10.44140625" style="230" customWidth="1"/>
    <col min="13834" max="13834" width="6.6640625" style="230" customWidth="1"/>
    <col min="13835" max="13835" width="5.5546875" style="230" customWidth="1"/>
    <col min="13836" max="13836" width="4" style="230" customWidth="1"/>
    <col min="13837" max="13837" width="3.88671875" style="230" customWidth="1"/>
    <col min="13838" max="13838" width="8.6640625" style="230" customWidth="1"/>
    <col min="13839" max="13839" width="10.5546875" style="230" customWidth="1"/>
    <col min="13840" max="13840" width="11" style="230" customWidth="1"/>
    <col min="13841" max="14080" width="16" style="230"/>
    <col min="14081" max="14081" width="9" style="230" customWidth="1"/>
    <col min="14082" max="14082" width="12.6640625" style="230" customWidth="1"/>
    <col min="14083" max="14083" width="6.33203125" style="230" customWidth="1"/>
    <col min="14084" max="14084" width="5.6640625" style="230" customWidth="1"/>
    <col min="14085" max="14085" width="5.5546875" style="230" customWidth="1"/>
    <col min="14086" max="14086" width="3.6640625" style="230" customWidth="1"/>
    <col min="14087" max="14087" width="23.5546875" style="230" customWidth="1"/>
    <col min="14088" max="14088" width="9" style="230" customWidth="1"/>
    <col min="14089" max="14089" width="10.44140625" style="230" customWidth="1"/>
    <col min="14090" max="14090" width="6.6640625" style="230" customWidth="1"/>
    <col min="14091" max="14091" width="5.5546875" style="230" customWidth="1"/>
    <col min="14092" max="14092" width="4" style="230" customWidth="1"/>
    <col min="14093" max="14093" width="3.88671875" style="230" customWidth="1"/>
    <col min="14094" max="14094" width="8.6640625" style="230" customWidth="1"/>
    <col min="14095" max="14095" width="10.5546875" style="230" customWidth="1"/>
    <col min="14096" max="14096" width="11" style="230" customWidth="1"/>
    <col min="14097" max="14336" width="16" style="230"/>
    <col min="14337" max="14337" width="9" style="230" customWidth="1"/>
    <col min="14338" max="14338" width="12.6640625" style="230" customWidth="1"/>
    <col min="14339" max="14339" width="6.33203125" style="230" customWidth="1"/>
    <col min="14340" max="14340" width="5.6640625" style="230" customWidth="1"/>
    <col min="14341" max="14341" width="5.5546875" style="230" customWidth="1"/>
    <col min="14342" max="14342" width="3.6640625" style="230" customWidth="1"/>
    <col min="14343" max="14343" width="23.5546875" style="230" customWidth="1"/>
    <col min="14344" max="14344" width="9" style="230" customWidth="1"/>
    <col min="14345" max="14345" width="10.44140625" style="230" customWidth="1"/>
    <col min="14346" max="14346" width="6.6640625" style="230" customWidth="1"/>
    <col min="14347" max="14347" width="5.5546875" style="230" customWidth="1"/>
    <col min="14348" max="14348" width="4" style="230" customWidth="1"/>
    <col min="14349" max="14349" width="3.88671875" style="230" customWidth="1"/>
    <col min="14350" max="14350" width="8.6640625" style="230" customWidth="1"/>
    <col min="14351" max="14351" width="10.5546875" style="230" customWidth="1"/>
    <col min="14352" max="14352" width="11" style="230" customWidth="1"/>
    <col min="14353" max="14592" width="16" style="230"/>
    <col min="14593" max="14593" width="9" style="230" customWidth="1"/>
    <col min="14594" max="14594" width="12.6640625" style="230" customWidth="1"/>
    <col min="14595" max="14595" width="6.33203125" style="230" customWidth="1"/>
    <col min="14596" max="14596" width="5.6640625" style="230" customWidth="1"/>
    <col min="14597" max="14597" width="5.5546875" style="230" customWidth="1"/>
    <col min="14598" max="14598" width="3.6640625" style="230" customWidth="1"/>
    <col min="14599" max="14599" width="23.5546875" style="230" customWidth="1"/>
    <col min="14600" max="14600" width="9" style="230" customWidth="1"/>
    <col min="14601" max="14601" width="10.44140625" style="230" customWidth="1"/>
    <col min="14602" max="14602" width="6.6640625" style="230" customWidth="1"/>
    <col min="14603" max="14603" width="5.5546875" style="230" customWidth="1"/>
    <col min="14604" max="14604" width="4" style="230" customWidth="1"/>
    <col min="14605" max="14605" width="3.88671875" style="230" customWidth="1"/>
    <col min="14606" max="14606" width="8.6640625" style="230" customWidth="1"/>
    <col min="14607" max="14607" width="10.5546875" style="230" customWidth="1"/>
    <col min="14608" max="14608" width="11" style="230" customWidth="1"/>
    <col min="14609" max="14848" width="16" style="230"/>
    <col min="14849" max="14849" width="9" style="230" customWidth="1"/>
    <col min="14850" max="14850" width="12.6640625" style="230" customWidth="1"/>
    <col min="14851" max="14851" width="6.33203125" style="230" customWidth="1"/>
    <col min="14852" max="14852" width="5.6640625" style="230" customWidth="1"/>
    <col min="14853" max="14853" width="5.5546875" style="230" customWidth="1"/>
    <col min="14854" max="14854" width="3.6640625" style="230" customWidth="1"/>
    <col min="14855" max="14855" width="23.5546875" style="230" customWidth="1"/>
    <col min="14856" max="14856" width="9" style="230" customWidth="1"/>
    <col min="14857" max="14857" width="10.44140625" style="230" customWidth="1"/>
    <col min="14858" max="14858" width="6.6640625" style="230" customWidth="1"/>
    <col min="14859" max="14859" width="5.5546875" style="230" customWidth="1"/>
    <col min="14860" max="14860" width="4" style="230" customWidth="1"/>
    <col min="14861" max="14861" width="3.88671875" style="230" customWidth="1"/>
    <col min="14862" max="14862" width="8.6640625" style="230" customWidth="1"/>
    <col min="14863" max="14863" width="10.5546875" style="230" customWidth="1"/>
    <col min="14864" max="14864" width="11" style="230" customWidth="1"/>
    <col min="14865" max="15104" width="16" style="230"/>
    <col min="15105" max="15105" width="9" style="230" customWidth="1"/>
    <col min="15106" max="15106" width="12.6640625" style="230" customWidth="1"/>
    <col min="15107" max="15107" width="6.33203125" style="230" customWidth="1"/>
    <col min="15108" max="15108" width="5.6640625" style="230" customWidth="1"/>
    <col min="15109" max="15109" width="5.5546875" style="230" customWidth="1"/>
    <col min="15110" max="15110" width="3.6640625" style="230" customWidth="1"/>
    <col min="15111" max="15111" width="23.5546875" style="230" customWidth="1"/>
    <col min="15112" max="15112" width="9" style="230" customWidth="1"/>
    <col min="15113" max="15113" width="10.44140625" style="230" customWidth="1"/>
    <col min="15114" max="15114" width="6.6640625" style="230" customWidth="1"/>
    <col min="15115" max="15115" width="5.5546875" style="230" customWidth="1"/>
    <col min="15116" max="15116" width="4" style="230" customWidth="1"/>
    <col min="15117" max="15117" width="3.88671875" style="230" customWidth="1"/>
    <col min="15118" max="15118" width="8.6640625" style="230" customWidth="1"/>
    <col min="15119" max="15119" width="10.5546875" style="230" customWidth="1"/>
    <col min="15120" max="15120" width="11" style="230" customWidth="1"/>
    <col min="15121" max="15360" width="16" style="230"/>
    <col min="15361" max="15361" width="9" style="230" customWidth="1"/>
    <col min="15362" max="15362" width="12.6640625" style="230" customWidth="1"/>
    <col min="15363" max="15363" width="6.33203125" style="230" customWidth="1"/>
    <col min="15364" max="15364" width="5.6640625" style="230" customWidth="1"/>
    <col min="15365" max="15365" width="5.5546875" style="230" customWidth="1"/>
    <col min="15366" max="15366" width="3.6640625" style="230" customWidth="1"/>
    <col min="15367" max="15367" width="23.5546875" style="230" customWidth="1"/>
    <col min="15368" max="15368" width="9" style="230" customWidth="1"/>
    <col min="15369" max="15369" width="10.44140625" style="230" customWidth="1"/>
    <col min="15370" max="15370" width="6.6640625" style="230" customWidth="1"/>
    <col min="15371" max="15371" width="5.5546875" style="230" customWidth="1"/>
    <col min="15372" max="15372" width="4" style="230" customWidth="1"/>
    <col min="15373" max="15373" width="3.88671875" style="230" customWidth="1"/>
    <col min="15374" max="15374" width="8.6640625" style="230" customWidth="1"/>
    <col min="15375" max="15375" width="10.5546875" style="230" customWidth="1"/>
    <col min="15376" max="15376" width="11" style="230" customWidth="1"/>
    <col min="15377" max="15616" width="16" style="230"/>
    <col min="15617" max="15617" width="9" style="230" customWidth="1"/>
    <col min="15618" max="15618" width="12.6640625" style="230" customWidth="1"/>
    <col min="15619" max="15619" width="6.33203125" style="230" customWidth="1"/>
    <col min="15620" max="15620" width="5.6640625" style="230" customWidth="1"/>
    <col min="15621" max="15621" width="5.5546875" style="230" customWidth="1"/>
    <col min="15622" max="15622" width="3.6640625" style="230" customWidth="1"/>
    <col min="15623" max="15623" width="23.5546875" style="230" customWidth="1"/>
    <col min="15624" max="15624" width="9" style="230" customWidth="1"/>
    <col min="15625" max="15625" width="10.44140625" style="230" customWidth="1"/>
    <col min="15626" max="15626" width="6.6640625" style="230" customWidth="1"/>
    <col min="15627" max="15627" width="5.5546875" style="230" customWidth="1"/>
    <col min="15628" max="15628" width="4" style="230" customWidth="1"/>
    <col min="15629" max="15629" width="3.88671875" style="230" customWidth="1"/>
    <col min="15630" max="15630" width="8.6640625" style="230" customWidth="1"/>
    <col min="15631" max="15631" width="10.5546875" style="230" customWidth="1"/>
    <col min="15632" max="15632" width="11" style="230" customWidth="1"/>
    <col min="15633" max="15872" width="16" style="230"/>
    <col min="15873" max="15873" width="9" style="230" customWidth="1"/>
    <col min="15874" max="15874" width="12.6640625" style="230" customWidth="1"/>
    <col min="15875" max="15875" width="6.33203125" style="230" customWidth="1"/>
    <col min="15876" max="15876" width="5.6640625" style="230" customWidth="1"/>
    <col min="15877" max="15877" width="5.5546875" style="230" customWidth="1"/>
    <col min="15878" max="15878" width="3.6640625" style="230" customWidth="1"/>
    <col min="15879" max="15879" width="23.5546875" style="230" customWidth="1"/>
    <col min="15880" max="15880" width="9" style="230" customWidth="1"/>
    <col min="15881" max="15881" width="10.44140625" style="230" customWidth="1"/>
    <col min="15882" max="15882" width="6.6640625" style="230" customWidth="1"/>
    <col min="15883" max="15883" width="5.5546875" style="230" customWidth="1"/>
    <col min="15884" max="15884" width="4" style="230" customWidth="1"/>
    <col min="15885" max="15885" width="3.88671875" style="230" customWidth="1"/>
    <col min="15886" max="15886" width="8.6640625" style="230" customWidth="1"/>
    <col min="15887" max="15887" width="10.5546875" style="230" customWidth="1"/>
    <col min="15888" max="15888" width="11" style="230" customWidth="1"/>
    <col min="15889" max="16128" width="16" style="230"/>
    <col min="16129" max="16129" width="9" style="230" customWidth="1"/>
    <col min="16130" max="16130" width="12.6640625" style="230" customWidth="1"/>
    <col min="16131" max="16131" width="6.33203125" style="230" customWidth="1"/>
    <col min="16132" max="16132" width="5.6640625" style="230" customWidth="1"/>
    <col min="16133" max="16133" width="5.5546875" style="230" customWidth="1"/>
    <col min="16134" max="16134" width="3.6640625" style="230" customWidth="1"/>
    <col min="16135" max="16135" width="23.5546875" style="230" customWidth="1"/>
    <col min="16136" max="16136" width="9" style="230" customWidth="1"/>
    <col min="16137" max="16137" width="10.44140625" style="230" customWidth="1"/>
    <col min="16138" max="16138" width="6.6640625" style="230" customWidth="1"/>
    <col min="16139" max="16139" width="5.5546875" style="230" customWidth="1"/>
    <col min="16140" max="16140" width="4" style="230" customWidth="1"/>
    <col min="16141" max="16141" width="3.88671875" style="230" customWidth="1"/>
    <col min="16142" max="16142" width="8.6640625" style="230" customWidth="1"/>
    <col min="16143" max="16143" width="10.5546875" style="230" customWidth="1"/>
    <col min="16144" max="16144" width="11" style="230" customWidth="1"/>
    <col min="16145" max="16384" width="16" style="230"/>
  </cols>
  <sheetData>
    <row r="1" spans="1:18" s="187" customFormat="1" ht="18" customHeight="1">
      <c r="A1" s="184" t="s">
        <v>441</v>
      </c>
      <c r="B1" s="185"/>
      <c r="C1" s="186"/>
      <c r="D1" s="186"/>
      <c r="G1" s="188"/>
      <c r="H1" s="189"/>
      <c r="I1" s="190"/>
      <c r="J1" s="190"/>
      <c r="N1" s="191"/>
      <c r="O1" s="192" t="s">
        <v>176</v>
      </c>
      <c r="P1" s="193"/>
      <c r="Q1" s="194"/>
      <c r="R1" s="195"/>
    </row>
    <row r="2" spans="1:18" s="187" customFormat="1" ht="12.75" customHeight="1">
      <c r="A2" s="196" t="s">
        <v>67</v>
      </c>
      <c r="B2" s="197"/>
      <c r="C2" s="198"/>
      <c r="D2" s="198"/>
      <c r="E2" s="199"/>
      <c r="F2" s="199"/>
      <c r="G2" s="199"/>
      <c r="H2" s="200" t="s">
        <v>177</v>
      </c>
      <c r="I2" s="201"/>
      <c r="J2" s="201"/>
      <c r="K2" s="202"/>
      <c r="L2" s="202"/>
      <c r="M2" s="202"/>
      <c r="N2" s="202"/>
      <c r="O2" s="203"/>
      <c r="P2" s="193"/>
      <c r="Q2" s="194"/>
      <c r="R2" s="195"/>
    </row>
    <row r="3" spans="1:18" s="187" customFormat="1" ht="13.5" customHeight="1">
      <c r="A3" s="204" t="s">
        <v>178</v>
      </c>
      <c r="B3" s="205"/>
      <c r="C3" s="206"/>
      <c r="D3" s="206"/>
      <c r="E3" s="207"/>
      <c r="F3" s="207"/>
      <c r="G3" s="207"/>
      <c r="H3" s="208" t="s">
        <v>179</v>
      </c>
      <c r="I3" s="905" t="s">
        <v>180</v>
      </c>
      <c r="J3" s="905"/>
      <c r="K3" s="209"/>
      <c r="L3" s="210" t="s">
        <v>86</v>
      </c>
      <c r="M3" s="210"/>
      <c r="N3" s="210"/>
      <c r="O3" s="211"/>
      <c r="P3" s="193"/>
      <c r="Q3" s="194"/>
      <c r="R3" s="195"/>
    </row>
    <row r="4" spans="1:18" s="187" customFormat="1" ht="18.75" customHeight="1">
      <c r="A4" s="212"/>
      <c r="B4" s="213"/>
      <c r="C4" s="213"/>
      <c r="D4" s="213"/>
      <c r="E4" s="214"/>
      <c r="F4" s="214"/>
      <c r="G4" s="214"/>
      <c r="H4" s="215" t="s">
        <v>181</v>
      </c>
      <c r="I4" s="216"/>
      <c r="J4" s="216"/>
      <c r="K4" s="216"/>
      <c r="L4" s="216" t="s">
        <v>87</v>
      </c>
      <c r="M4" s="216"/>
      <c r="N4" s="210"/>
      <c r="O4" s="211"/>
      <c r="P4" s="217"/>
      <c r="Q4" s="195"/>
      <c r="R4" s="195"/>
    </row>
    <row r="5" spans="1:18" s="187" customFormat="1" ht="12.75" customHeight="1">
      <c r="A5" s="906" t="s">
        <v>88</v>
      </c>
      <c r="B5" s="907"/>
      <c r="C5" s="907"/>
      <c r="D5" s="907"/>
      <c r="E5" s="907"/>
      <c r="F5" s="907"/>
      <c r="G5" s="908"/>
      <c r="H5" s="218" t="s">
        <v>182</v>
      </c>
      <c r="I5" s="219"/>
      <c r="J5" s="219"/>
      <c r="K5" s="219"/>
      <c r="L5" s="220" t="s">
        <v>89</v>
      </c>
      <c r="M5" s="220"/>
      <c r="N5" s="219"/>
      <c r="O5" s="221"/>
      <c r="P5" s="217"/>
      <c r="Q5" s="195"/>
      <c r="R5" s="195"/>
    </row>
    <row r="6" spans="1:18" s="187" customFormat="1" ht="12.75" customHeight="1">
      <c r="A6" s="909"/>
      <c r="B6" s="910"/>
      <c r="C6" s="910"/>
      <c r="D6" s="910"/>
      <c r="E6" s="910"/>
      <c r="F6" s="910"/>
      <c r="G6" s="911"/>
      <c r="H6" s="222"/>
      <c r="I6" s="223"/>
      <c r="J6" s="223"/>
      <c r="K6" s="224"/>
      <c r="L6" s="224"/>
      <c r="M6" s="224"/>
      <c r="N6" s="223"/>
      <c r="O6" s="225"/>
      <c r="P6" s="217"/>
      <c r="Q6" s="195"/>
      <c r="R6" s="195"/>
    </row>
    <row r="7" spans="1:18" ht="17.25" customHeight="1">
      <c r="A7" s="226" t="s">
        <v>183</v>
      </c>
      <c r="B7" s="227"/>
      <c r="C7" s="227"/>
      <c r="D7" s="227"/>
      <c r="E7" s="227"/>
      <c r="F7" s="227"/>
      <c r="G7" s="227"/>
      <c r="H7" s="227"/>
      <c r="I7" s="227"/>
      <c r="J7" s="228"/>
      <c r="K7" s="228"/>
      <c r="L7" s="228"/>
      <c r="M7" s="228"/>
      <c r="N7" s="228"/>
      <c r="O7" s="229"/>
      <c r="P7" s="217"/>
      <c r="Q7" s="217"/>
      <c r="R7" s="217"/>
    </row>
    <row r="8" spans="1:18" s="187" customFormat="1" ht="15.75" customHeight="1">
      <c r="A8" s="231"/>
      <c r="B8" s="232"/>
      <c r="C8" s="233"/>
      <c r="D8" s="233"/>
      <c r="E8" s="234"/>
      <c r="F8" s="234"/>
      <c r="G8" s="234"/>
      <c r="H8" s="234"/>
      <c r="I8" s="234"/>
      <c r="J8" s="234"/>
      <c r="K8" s="234"/>
      <c r="L8" s="234"/>
      <c r="M8" s="234"/>
      <c r="N8" s="234"/>
      <c r="O8" s="235"/>
      <c r="P8" s="195"/>
      <c r="Q8" s="195"/>
      <c r="R8" s="195"/>
    </row>
    <row r="9" spans="1:18" s="187" customFormat="1" ht="12.75" customHeight="1">
      <c r="A9" s="226" t="s">
        <v>184</v>
      </c>
      <c r="B9" s="236"/>
      <c r="C9" s="237"/>
      <c r="D9" s="237"/>
      <c r="E9" s="236"/>
      <c r="F9" s="236"/>
      <c r="G9" s="236"/>
      <c r="H9" s="236"/>
      <c r="I9" s="236"/>
      <c r="J9" s="238"/>
      <c r="K9" s="239"/>
      <c r="L9" s="238"/>
      <c r="M9" s="239"/>
      <c r="N9" s="228" t="s">
        <v>90</v>
      </c>
      <c r="O9" s="240" t="s">
        <v>80</v>
      </c>
      <c r="P9" s="195"/>
      <c r="Q9" s="195"/>
      <c r="R9" s="195"/>
    </row>
    <row r="10" spans="1:18" s="187" customFormat="1" ht="12" customHeight="1">
      <c r="A10" s="241" t="s">
        <v>185</v>
      </c>
      <c r="B10" s="195"/>
      <c r="C10" s="194"/>
      <c r="D10" s="194"/>
      <c r="E10" s="195"/>
      <c r="F10" s="195"/>
      <c r="G10" s="195"/>
      <c r="H10" s="195"/>
      <c r="I10" s="195"/>
      <c r="J10" s="242"/>
      <c r="K10" s="243"/>
      <c r="L10" s="242"/>
      <c r="M10" s="243"/>
      <c r="N10" s="243"/>
      <c r="O10" s="244"/>
      <c r="P10" s="195"/>
      <c r="Q10" s="195"/>
      <c r="R10" s="195"/>
    </row>
    <row r="11" spans="1:18" s="187" customFormat="1" ht="16.5" customHeight="1">
      <c r="A11" s="245" t="s">
        <v>68</v>
      </c>
      <c r="B11" s="246"/>
      <c r="C11" s="247"/>
      <c r="D11" s="248" t="s">
        <v>186</v>
      </c>
      <c r="E11" s="249"/>
      <c r="F11" s="250"/>
      <c r="G11" s="251"/>
      <c r="H11" s="252"/>
      <c r="I11" s="252"/>
      <c r="J11" s="252"/>
      <c r="K11" s="253"/>
      <c r="L11" s="253"/>
      <c r="M11" s="252"/>
      <c r="N11" s="252"/>
      <c r="O11" s="254"/>
      <c r="P11" s="195"/>
      <c r="Q11" s="195"/>
      <c r="R11" s="195"/>
    </row>
    <row r="12" spans="1:18" s="187" customFormat="1" ht="19.5" customHeight="1">
      <c r="A12" s="255" t="s">
        <v>187</v>
      </c>
      <c r="B12" s="213"/>
      <c r="C12" s="213"/>
      <c r="D12" s="213"/>
      <c r="E12" s="213"/>
      <c r="F12" s="213"/>
      <c r="G12" s="213"/>
      <c r="H12" s="256"/>
      <c r="I12" s="213"/>
      <c r="J12" s="257"/>
      <c r="K12" s="257"/>
      <c r="L12" s="257"/>
      <c r="M12" s="258"/>
      <c r="N12" s="213"/>
      <c r="O12" s="259"/>
      <c r="P12" s="195"/>
      <c r="Q12" s="195"/>
      <c r="R12" s="195"/>
    </row>
    <row r="13" spans="1:18" ht="14.25" customHeight="1">
      <c r="A13" s="260" t="s">
        <v>188</v>
      </c>
      <c r="B13" s="261"/>
      <c r="C13" s="228"/>
      <c r="D13" s="228"/>
      <c r="E13" s="228"/>
      <c r="F13" s="228"/>
      <c r="G13" s="228"/>
      <c r="H13" s="260" t="s">
        <v>189</v>
      </c>
      <c r="I13" s="228"/>
      <c r="J13" s="228"/>
      <c r="K13" s="262" t="s">
        <v>190</v>
      </c>
      <c r="L13" s="263" t="s">
        <v>191</v>
      </c>
      <c r="M13" s="264"/>
      <c r="N13" s="264"/>
      <c r="O13" s="265"/>
      <c r="P13" s="266"/>
      <c r="Q13" s="217"/>
      <c r="R13" s="217"/>
    </row>
    <row r="14" spans="1:18" ht="16.5" customHeight="1">
      <c r="A14" s="267"/>
      <c r="B14" s="232"/>
      <c r="C14" s="268"/>
      <c r="D14" s="268"/>
      <c r="E14" s="268"/>
      <c r="F14" s="268"/>
      <c r="G14" s="268"/>
      <c r="H14" s="269"/>
      <c r="I14" s="270"/>
      <c r="J14" s="270"/>
      <c r="K14" s="271"/>
      <c r="L14" s="272"/>
      <c r="M14" s="273"/>
      <c r="N14" s="274"/>
      <c r="O14" s="275"/>
      <c r="P14" s="217"/>
      <c r="Q14" s="266"/>
      <c r="R14" s="217"/>
    </row>
    <row r="15" spans="1:18" ht="14.25" customHeight="1">
      <c r="A15" s="226" t="s">
        <v>192</v>
      </c>
      <c r="B15" s="228"/>
      <c r="C15" s="261"/>
      <c r="D15" s="261"/>
      <c r="E15" s="228"/>
      <c r="F15" s="228"/>
      <c r="G15" s="229"/>
      <c r="H15" s="276" t="s">
        <v>193</v>
      </c>
      <c r="I15" s="277"/>
      <c r="J15" s="277"/>
      <c r="K15" s="243"/>
      <c r="L15" s="243"/>
      <c r="M15" s="243"/>
      <c r="N15" s="243"/>
      <c r="O15" s="278"/>
      <c r="P15" s="217"/>
      <c r="Q15" s="266"/>
      <c r="R15" s="217"/>
    </row>
    <row r="16" spans="1:18" ht="14.25" customHeight="1">
      <c r="A16" s="267"/>
      <c r="B16" s="232"/>
      <c r="C16" s="279"/>
      <c r="D16" s="279"/>
      <c r="E16" s="268"/>
      <c r="F16" s="268"/>
      <c r="G16" s="280"/>
      <c r="H16" s="281"/>
      <c r="I16" s="281"/>
      <c r="J16" s="281"/>
      <c r="K16" s="281"/>
      <c r="L16" s="281"/>
      <c r="M16" s="281"/>
      <c r="N16" s="281"/>
      <c r="O16" s="282"/>
      <c r="P16" s="217"/>
      <c r="Q16" s="266"/>
      <c r="R16" s="217"/>
    </row>
    <row r="17" spans="1:19" s="187" customFormat="1" ht="14.25" customHeight="1">
      <c r="A17" s="226" t="s">
        <v>194</v>
      </c>
      <c r="B17" s="228"/>
      <c r="C17" s="261"/>
      <c r="D17" s="261"/>
      <c r="E17" s="228"/>
      <c r="F17" s="228"/>
      <c r="G17" s="229"/>
      <c r="H17" s="281"/>
      <c r="I17" s="283"/>
      <c r="J17" s="283"/>
      <c r="K17" s="281"/>
      <c r="L17" s="281"/>
      <c r="M17" s="281"/>
      <c r="N17" s="281"/>
      <c r="O17" s="282"/>
      <c r="P17" s="195"/>
      <c r="Q17" s="194"/>
      <c r="R17" s="195"/>
    </row>
    <row r="18" spans="1:19" s="187" customFormat="1" ht="14.25" customHeight="1">
      <c r="A18" s="267"/>
      <c r="B18" s="284"/>
      <c r="C18" s="285"/>
      <c r="D18" s="285"/>
      <c r="E18" s="234"/>
      <c r="F18" s="234"/>
      <c r="G18" s="235"/>
      <c r="H18" s="281"/>
      <c r="I18" s="283"/>
      <c r="J18" s="283"/>
      <c r="K18" s="281"/>
      <c r="L18" s="281"/>
      <c r="M18" s="281"/>
      <c r="N18" s="281"/>
      <c r="O18" s="282"/>
      <c r="P18" s="195"/>
      <c r="Q18" s="194"/>
      <c r="R18" s="195"/>
    </row>
    <row r="19" spans="1:19" s="187" customFormat="1" ht="14.25" customHeight="1">
      <c r="A19" s="226" t="s">
        <v>195</v>
      </c>
      <c r="B19" s="228"/>
      <c r="C19" s="261"/>
      <c r="D19" s="261"/>
      <c r="E19" s="286"/>
      <c r="F19" s="286"/>
      <c r="G19" s="287"/>
      <c r="H19" s="281"/>
      <c r="I19" s="283" t="s">
        <v>331</v>
      </c>
      <c r="J19" s="283"/>
      <c r="K19" s="281"/>
      <c r="L19" s="281"/>
      <c r="M19" s="281"/>
      <c r="N19" s="281"/>
      <c r="O19" s="282"/>
      <c r="P19" s="195"/>
      <c r="Q19" s="194"/>
      <c r="R19" s="195"/>
    </row>
    <row r="20" spans="1:19" s="187" customFormat="1" ht="14.25" customHeight="1">
      <c r="A20" s="267"/>
      <c r="B20" s="284"/>
      <c r="C20" s="288"/>
      <c r="D20" s="288"/>
      <c r="E20" s="232"/>
      <c r="F20" s="232"/>
      <c r="G20" s="289"/>
      <c r="H20" s="281"/>
      <c r="I20" s="283"/>
      <c r="J20" s="283"/>
      <c r="K20" s="281"/>
      <c r="L20" s="281"/>
      <c r="M20" s="281"/>
      <c r="N20" s="281"/>
      <c r="O20" s="282"/>
      <c r="P20" s="195"/>
      <c r="Q20" s="194"/>
      <c r="R20" s="195"/>
    </row>
    <row r="21" spans="1:19" s="187" customFormat="1" ht="15" customHeight="1">
      <c r="A21" s="226" t="s">
        <v>196</v>
      </c>
      <c r="B21" s="228"/>
      <c r="C21" s="261"/>
      <c r="D21" s="261"/>
      <c r="E21" s="228"/>
      <c r="F21" s="228"/>
      <c r="G21" s="229"/>
      <c r="H21" s="290" t="s">
        <v>197</v>
      </c>
      <c r="I21" s="291"/>
      <c r="J21" s="281"/>
      <c r="K21" s="281"/>
      <c r="L21" s="281"/>
      <c r="M21" s="281"/>
      <c r="N21" s="281"/>
      <c r="O21" s="282"/>
      <c r="P21" s="217"/>
      <c r="Q21" s="195"/>
      <c r="R21" s="195"/>
    </row>
    <row r="22" spans="1:19" s="187" customFormat="1" ht="17.25" customHeight="1">
      <c r="A22" s="292" t="s">
        <v>198</v>
      </c>
      <c r="B22" s="293" t="s">
        <v>244</v>
      </c>
      <c r="C22" s="294"/>
      <c r="D22" s="295"/>
      <c r="E22" s="296" t="s">
        <v>199</v>
      </c>
      <c r="F22" s="297"/>
      <c r="G22" s="298" t="s">
        <v>244</v>
      </c>
      <c r="H22" s="231"/>
      <c r="I22" s="232"/>
      <c r="J22" s="232"/>
      <c r="K22" s="284"/>
      <c r="L22" s="284"/>
      <c r="M22" s="284"/>
      <c r="N22" s="284"/>
      <c r="O22" s="289"/>
      <c r="P22" s="266"/>
      <c r="Q22" s="217"/>
      <c r="R22" s="266"/>
    </row>
    <row r="23" spans="1:19" ht="12.75" customHeight="1">
      <c r="A23" s="299" t="s">
        <v>200</v>
      </c>
      <c r="B23" s="300"/>
      <c r="C23" s="301"/>
      <c r="D23" s="302"/>
      <c r="E23" s="303"/>
      <c r="F23" s="304" t="s">
        <v>201</v>
      </c>
      <c r="G23" s="303"/>
      <c r="H23" s="305" t="s">
        <v>202</v>
      </c>
      <c r="I23" s="305"/>
      <c r="J23" s="305"/>
      <c r="K23" s="912"/>
      <c r="L23" s="912"/>
      <c r="M23" s="912"/>
      <c r="N23" s="912"/>
      <c r="O23" s="306"/>
      <c r="P23" s="217"/>
      <c r="Q23" s="217"/>
      <c r="R23" s="217"/>
    </row>
    <row r="24" spans="1:19" ht="17.25" customHeight="1">
      <c r="A24" s="307" t="s">
        <v>203</v>
      </c>
      <c r="B24" s="308" t="s">
        <v>204</v>
      </c>
      <c r="C24" s="309"/>
      <c r="D24" s="310"/>
      <c r="E24" s="311"/>
      <c r="F24" s="312" t="s">
        <v>205</v>
      </c>
      <c r="G24" s="313"/>
      <c r="H24" s="314"/>
      <c r="I24" s="314"/>
      <c r="J24" s="314"/>
      <c r="K24" s="913"/>
      <c r="L24" s="913"/>
      <c r="M24" s="913"/>
      <c r="N24" s="913"/>
      <c r="O24" s="315"/>
      <c r="P24" s="217"/>
      <c r="Q24" s="217"/>
      <c r="R24" s="217"/>
    </row>
    <row r="25" spans="1:19" ht="12.75" customHeight="1">
      <c r="A25" s="299" t="s">
        <v>206</v>
      </c>
      <c r="B25" s="300"/>
      <c r="C25" s="301"/>
      <c r="D25" s="302"/>
      <c r="E25" s="303"/>
      <c r="F25" s="304" t="s">
        <v>207</v>
      </c>
      <c r="G25" s="303"/>
      <c r="H25" s="316"/>
      <c r="J25" s="317" t="s">
        <v>208</v>
      </c>
      <c r="K25" s="318"/>
      <c r="L25" s="318"/>
      <c r="M25" s="318"/>
      <c r="N25" s="318"/>
      <c r="O25" s="306"/>
      <c r="P25" s="217"/>
      <c r="Q25" s="217"/>
      <c r="R25" s="217"/>
    </row>
    <row r="26" spans="1:19" ht="16.5" customHeight="1">
      <c r="A26" s="307"/>
      <c r="B26" s="319"/>
      <c r="C26" s="309"/>
      <c r="D26" s="310"/>
      <c r="E26" s="311"/>
      <c r="F26" s="312" t="s">
        <v>205</v>
      </c>
      <c r="G26" s="313"/>
      <c r="H26" s="314"/>
      <c r="J26" s="320" t="s">
        <v>209</v>
      </c>
      <c r="K26" s="314"/>
      <c r="L26" s="321" t="s">
        <v>210</v>
      </c>
      <c r="M26" s="321"/>
      <c r="N26" s="321"/>
      <c r="O26" s="315"/>
      <c r="P26" s="217"/>
      <c r="Q26" s="217"/>
      <c r="R26" s="217"/>
    </row>
    <row r="27" spans="1:19" s="332" customFormat="1" ht="18.75" customHeight="1">
      <c r="A27" s="322" t="s">
        <v>211</v>
      </c>
      <c r="B27" s="323"/>
      <c r="C27" s="324"/>
      <c r="D27" s="324" t="s">
        <v>212</v>
      </c>
      <c r="E27" s="324" t="s">
        <v>213</v>
      </c>
      <c r="F27" s="325"/>
      <c r="G27" s="326"/>
      <c r="H27" s="322" t="s">
        <v>256</v>
      </c>
      <c r="I27" s="327"/>
      <c r="J27" s="327"/>
      <c r="K27" s="327"/>
      <c r="L27" s="327"/>
      <c r="M27" s="327"/>
      <c r="N27" s="327"/>
      <c r="O27" s="328"/>
      <c r="P27" s="329"/>
      <c r="Q27" s="330"/>
      <c r="R27" s="330"/>
      <c r="S27" s="331"/>
    </row>
    <row r="28" spans="1:19" ht="11.25" customHeight="1">
      <c r="A28" s="333" t="s">
        <v>214</v>
      </c>
      <c r="B28" s="194"/>
      <c r="C28" s="187"/>
      <c r="D28" s="187"/>
      <c r="E28" s="187"/>
      <c r="F28" s="334"/>
      <c r="G28" s="335" t="s">
        <v>215</v>
      </c>
      <c r="H28" s="194"/>
      <c r="I28" s="336"/>
      <c r="J28" s="276" t="s">
        <v>216</v>
      </c>
      <c r="K28" s="187"/>
      <c r="L28" s="187"/>
      <c r="M28" s="187"/>
      <c r="N28" s="187"/>
      <c r="O28" s="337"/>
      <c r="P28" s="338" t="s">
        <v>14</v>
      </c>
      <c r="Q28" s="339" t="s">
        <v>217</v>
      </c>
      <c r="R28" s="340" t="s">
        <v>14</v>
      </c>
      <c r="S28" s="266"/>
    </row>
    <row r="29" spans="1:19" s="349" customFormat="1" ht="12" customHeight="1">
      <c r="A29" s="333" t="s">
        <v>218</v>
      </c>
      <c r="B29" s="341"/>
      <c r="C29" s="243"/>
      <c r="D29" s="243"/>
      <c r="E29" s="243"/>
      <c r="F29" s="342"/>
      <c r="G29" s="343" t="s">
        <v>219</v>
      </c>
      <c r="H29" s="277"/>
      <c r="I29" s="244"/>
      <c r="J29" s="276" t="s">
        <v>70</v>
      </c>
      <c r="K29" s="344"/>
      <c r="L29" s="344"/>
      <c r="M29" s="243"/>
      <c r="N29" s="243"/>
      <c r="O29" s="345"/>
      <c r="P29" s="346"/>
      <c r="Q29" s="347" t="s">
        <v>14</v>
      </c>
      <c r="R29" s="347"/>
      <c r="S29" s="348"/>
    </row>
    <row r="30" spans="1:19" ht="15" customHeight="1">
      <c r="A30" s="350" t="s">
        <v>71</v>
      </c>
      <c r="B30" s="351"/>
      <c r="C30" s="352" t="s">
        <v>220</v>
      </c>
      <c r="D30" s="353"/>
      <c r="E30" s="353"/>
      <c r="F30" s="354"/>
      <c r="G30" s="355" t="s">
        <v>221</v>
      </c>
      <c r="H30" s="355" t="s">
        <v>222</v>
      </c>
      <c r="I30" s="356"/>
      <c r="J30" s="239" t="s">
        <v>223</v>
      </c>
      <c r="K30" s="357"/>
      <c r="L30" s="357"/>
      <c r="M30" s="357"/>
      <c r="N30" s="355" t="s">
        <v>224</v>
      </c>
      <c r="O30" s="356"/>
      <c r="P30" s="338"/>
      <c r="Q30" s="340"/>
      <c r="R30" s="340"/>
      <c r="S30" s="266"/>
    </row>
    <row r="31" spans="1:19" s="364" customFormat="1" ht="17.25" customHeight="1">
      <c r="A31" s="358"/>
      <c r="B31" s="359"/>
      <c r="C31" s="360"/>
      <c r="D31" s="359"/>
      <c r="E31" s="361"/>
      <c r="F31" s="362"/>
      <c r="G31" s="363">
        <f>'Base Budget'!L179+'Base Budget'!L200</f>
        <v>0</v>
      </c>
      <c r="H31" s="914">
        <f>'Base Budget'!$L$208</f>
        <v>0</v>
      </c>
      <c r="I31" s="915"/>
      <c r="J31" s="916">
        <f>'Base Budget'!V179+'Base Budget'!V200</f>
        <v>0</v>
      </c>
      <c r="K31" s="917"/>
      <c r="L31" s="917"/>
      <c r="M31" s="918"/>
      <c r="N31" s="914">
        <f>'Base Budget'!$E$215</f>
        <v>0</v>
      </c>
      <c r="O31" s="915"/>
    </row>
    <row r="32" spans="1:19" ht="16.5" customHeight="1">
      <c r="A32" s="365" t="s">
        <v>225</v>
      </c>
      <c r="B32" s="194"/>
      <c r="C32" s="187"/>
      <c r="D32" s="366"/>
      <c r="E32" s="366"/>
      <c r="F32" s="366"/>
      <c r="G32" s="366"/>
      <c r="H32" s="365" t="s">
        <v>226</v>
      </c>
      <c r="I32" s="187"/>
      <c r="J32" s="187"/>
      <c r="K32" s="187"/>
      <c r="L32" s="187"/>
      <c r="M32" s="187"/>
      <c r="N32" s="187"/>
      <c r="O32" s="336"/>
    </row>
    <row r="33" spans="1:16" ht="16.5" customHeight="1">
      <c r="A33" s="367" t="s">
        <v>1</v>
      </c>
      <c r="B33" s="437" t="s">
        <v>174</v>
      </c>
      <c r="C33" s="368"/>
      <c r="D33" s="283"/>
      <c r="E33" s="283"/>
      <c r="F33" s="283"/>
      <c r="G33" s="283"/>
      <c r="H33" s="367" t="s">
        <v>227</v>
      </c>
      <c r="I33" s="369"/>
      <c r="J33" s="370" t="s">
        <v>228</v>
      </c>
      <c r="K33" s="371"/>
      <c r="L33" s="370" t="s">
        <v>229</v>
      </c>
      <c r="M33" s="372"/>
      <c r="N33" s="373" t="s">
        <v>230</v>
      </c>
      <c r="O33" s="334"/>
      <c r="P33" s="374"/>
    </row>
    <row r="34" spans="1:16" ht="16.5" customHeight="1">
      <c r="A34" s="375" t="s">
        <v>72</v>
      </c>
      <c r="B34" s="437" t="s">
        <v>79</v>
      </c>
      <c r="C34" s="368"/>
      <c r="D34" s="283"/>
      <c r="E34" s="283"/>
      <c r="F34" s="283"/>
      <c r="G34" s="376"/>
      <c r="H34" s="367" t="s">
        <v>231</v>
      </c>
      <c r="I34" s="377"/>
      <c r="J34" s="370" t="s">
        <v>232</v>
      </c>
      <c r="K34" s="378"/>
      <c r="L34" s="379"/>
      <c r="M34" s="380"/>
      <c r="N34" s="380"/>
      <c r="O34" s="381"/>
      <c r="P34" s="374"/>
    </row>
    <row r="35" spans="1:16" ht="16.5" customHeight="1">
      <c r="A35" s="382"/>
      <c r="B35" s="437" t="s">
        <v>161</v>
      </c>
      <c r="C35" s="368"/>
      <c r="D35" s="283"/>
      <c r="E35" s="283"/>
      <c r="F35" s="283"/>
      <c r="G35" s="283"/>
      <c r="H35" s="367" t="s">
        <v>233</v>
      </c>
      <c r="I35" s="378"/>
      <c r="J35" s="370" t="s">
        <v>234</v>
      </c>
      <c r="K35" s="378"/>
      <c r="L35" s="370" t="s">
        <v>73</v>
      </c>
      <c r="M35" s="184"/>
      <c r="N35" s="380"/>
      <c r="O35" s="383"/>
      <c r="P35" s="374"/>
    </row>
    <row r="36" spans="1:16" ht="16.5" customHeight="1">
      <c r="A36" s="382"/>
      <c r="B36" s="437" t="s">
        <v>245</v>
      </c>
      <c r="C36" s="283"/>
      <c r="D36" s="283"/>
      <c r="E36" s="283"/>
      <c r="F36" s="283"/>
      <c r="G36" s="283"/>
      <c r="H36" s="292" t="s">
        <v>235</v>
      </c>
      <c r="I36" s="384"/>
      <c r="J36" s="385" t="s">
        <v>236</v>
      </c>
      <c r="K36" s="384"/>
      <c r="L36" s="384"/>
      <c r="M36" s="384"/>
      <c r="N36" s="386"/>
      <c r="O36" s="387"/>
    </row>
    <row r="37" spans="1:16" ht="16.5" customHeight="1">
      <c r="A37" s="382"/>
      <c r="B37" s="388"/>
      <c r="C37" s="388"/>
      <c r="D37" s="283"/>
      <c r="E37" s="283"/>
      <c r="F37" s="283"/>
      <c r="G37" s="376"/>
      <c r="H37" s="333" t="s">
        <v>237</v>
      </c>
      <c r="I37" s="194"/>
      <c r="J37" s="194"/>
      <c r="K37" s="194"/>
      <c r="L37" s="194"/>
      <c r="M37" s="187"/>
      <c r="N37" s="389"/>
      <c r="O37" s="390"/>
    </row>
    <row r="38" spans="1:16" ht="12.75" customHeight="1">
      <c r="A38" s="382"/>
      <c r="B38" s="388"/>
      <c r="C38" s="388"/>
      <c r="D38" s="283"/>
      <c r="E38" s="283"/>
      <c r="F38" s="283"/>
      <c r="G38" s="376"/>
      <c r="H38" s="899">
        <v>426004224</v>
      </c>
      <c r="I38" s="900"/>
      <c r="J38" s="900"/>
      <c r="K38" s="900"/>
      <c r="L38" s="900"/>
      <c r="M38" s="900"/>
      <c r="N38" s="391"/>
      <c r="O38" s="390"/>
    </row>
    <row r="39" spans="1:16" ht="17.25" customHeight="1">
      <c r="A39" s="392"/>
      <c r="B39" s="288"/>
      <c r="C39" s="288"/>
      <c r="D39" s="288"/>
      <c r="E39" s="288"/>
      <c r="F39" s="901"/>
      <c r="G39" s="902"/>
      <c r="H39" s="393" t="s">
        <v>238</v>
      </c>
      <c r="I39" s="438"/>
      <c r="J39" s="439" t="s">
        <v>74</v>
      </c>
      <c r="K39" s="394"/>
      <c r="L39" s="395" t="s">
        <v>239</v>
      </c>
      <c r="M39" s="396"/>
      <c r="N39" s="397"/>
      <c r="O39" s="440" t="s">
        <v>246</v>
      </c>
    </row>
    <row r="40" spans="1:16" ht="15" customHeight="1">
      <c r="A40" s="335" t="s">
        <v>81</v>
      </c>
      <c r="B40" s="187"/>
      <c r="C40" s="187"/>
      <c r="D40" s="187"/>
      <c r="E40" s="398"/>
      <c r="F40" s="398"/>
      <c r="G40" s="398"/>
      <c r="H40" s="333" t="s">
        <v>240</v>
      </c>
      <c r="I40" s="187"/>
      <c r="J40" s="187"/>
      <c r="K40" s="187"/>
      <c r="L40" s="187"/>
      <c r="M40" s="187"/>
      <c r="N40" s="187"/>
      <c r="O40" s="336"/>
    </row>
    <row r="41" spans="1:16" ht="16.5" customHeight="1">
      <c r="A41" s="399" t="s">
        <v>1</v>
      </c>
      <c r="B41" s="437" t="s">
        <v>436</v>
      </c>
      <c r="C41" s="281"/>
      <c r="D41" s="283"/>
      <c r="E41" s="283"/>
      <c r="F41" s="283"/>
      <c r="G41" s="283"/>
      <c r="H41" s="399" t="s">
        <v>1</v>
      </c>
      <c r="I41" s="437" t="s">
        <v>440</v>
      </c>
      <c r="J41" s="281"/>
      <c r="K41" s="368"/>
      <c r="L41" s="368"/>
      <c r="M41" s="283"/>
      <c r="N41" s="283"/>
      <c r="O41" s="282"/>
    </row>
    <row r="42" spans="1:16" ht="16.5" customHeight="1">
      <c r="A42" s="400" t="s">
        <v>75</v>
      </c>
      <c r="B42" s="437" t="s">
        <v>172</v>
      </c>
      <c r="C42" s="281"/>
      <c r="D42" s="283"/>
      <c r="E42" s="283"/>
      <c r="F42" s="283"/>
      <c r="G42" s="283"/>
      <c r="H42" s="400" t="s">
        <v>75</v>
      </c>
      <c r="I42" s="437" t="s">
        <v>173</v>
      </c>
      <c r="J42" s="401"/>
      <c r="K42" s="368"/>
      <c r="L42" s="368"/>
      <c r="M42" s="283"/>
      <c r="N42" s="283"/>
      <c r="O42" s="282"/>
    </row>
    <row r="43" spans="1:16" ht="16.5" customHeight="1">
      <c r="A43" s="400" t="s">
        <v>72</v>
      </c>
      <c r="B43" s="437" t="s">
        <v>174</v>
      </c>
      <c r="C43" s="281"/>
      <c r="D43" s="283"/>
      <c r="E43" s="283"/>
      <c r="F43" s="283"/>
      <c r="G43" s="283"/>
      <c r="H43" s="400" t="s">
        <v>72</v>
      </c>
      <c r="I43" s="437" t="s">
        <v>174</v>
      </c>
      <c r="J43" s="401"/>
      <c r="K43" s="368"/>
      <c r="L43" s="368"/>
      <c r="M43" s="281"/>
      <c r="N43" s="281"/>
      <c r="O43" s="282"/>
    </row>
    <row r="44" spans="1:16" ht="16.5" customHeight="1">
      <c r="A44" s="402"/>
      <c r="B44" s="437" t="s">
        <v>79</v>
      </c>
      <c r="C44" s="281"/>
      <c r="D44" s="283"/>
      <c r="E44" s="283"/>
      <c r="F44" s="283"/>
      <c r="G44" s="283"/>
      <c r="H44" s="402"/>
      <c r="I44" s="437" t="s">
        <v>79</v>
      </c>
      <c r="J44" s="401"/>
      <c r="K44" s="368"/>
      <c r="L44" s="368"/>
      <c r="M44" s="283"/>
      <c r="N44" s="283"/>
      <c r="O44" s="282"/>
    </row>
    <row r="45" spans="1:16" ht="16.5" customHeight="1">
      <c r="A45" s="402"/>
      <c r="B45" s="437" t="s">
        <v>161</v>
      </c>
      <c r="C45" s="281"/>
      <c r="D45" s="283"/>
      <c r="E45" s="283"/>
      <c r="F45" s="283"/>
      <c r="G45" s="281"/>
      <c r="H45" s="402"/>
      <c r="I45" s="437" t="s">
        <v>161</v>
      </c>
      <c r="J45" s="401"/>
      <c r="K45" s="368"/>
      <c r="L45" s="368"/>
      <c r="M45" s="283"/>
      <c r="N45" s="283"/>
      <c r="O45" s="282"/>
    </row>
    <row r="46" spans="1:16" ht="16.5" customHeight="1">
      <c r="A46" s="402"/>
      <c r="B46" s="437" t="s">
        <v>245</v>
      </c>
      <c r="C46" s="281"/>
      <c r="D46" s="283"/>
      <c r="E46" s="283"/>
      <c r="F46" s="283"/>
      <c r="G46" s="281"/>
      <c r="H46" s="402"/>
      <c r="I46" s="437" t="s">
        <v>245</v>
      </c>
      <c r="J46" s="401"/>
      <c r="K46" s="368"/>
      <c r="L46" s="368"/>
      <c r="M46" s="283"/>
      <c r="N46" s="283"/>
      <c r="O46" s="282"/>
    </row>
    <row r="47" spans="1:16" ht="17.25" customHeight="1">
      <c r="A47" s="403" t="s">
        <v>91</v>
      </c>
      <c r="B47" s="441" t="s">
        <v>76</v>
      </c>
      <c r="C47" s="283"/>
      <c r="D47" s="283"/>
      <c r="E47" s="283"/>
      <c r="F47" s="404" t="s">
        <v>69</v>
      </c>
      <c r="G47" s="442" t="s">
        <v>77</v>
      </c>
      <c r="H47" s="403" t="s">
        <v>91</v>
      </c>
      <c r="I47" s="441" t="s">
        <v>76</v>
      </c>
      <c r="J47" s="401"/>
      <c r="K47" s="368"/>
      <c r="L47" s="368"/>
      <c r="M47" s="404" t="s">
        <v>69</v>
      </c>
      <c r="N47" s="903" t="s">
        <v>77</v>
      </c>
      <c r="O47" s="904"/>
    </row>
    <row r="48" spans="1:16" ht="21" customHeight="1">
      <c r="A48" s="405" t="s">
        <v>92</v>
      </c>
      <c r="B48" s="443" t="s">
        <v>78</v>
      </c>
      <c r="C48" s="283"/>
      <c r="D48" s="283"/>
      <c r="E48" s="283"/>
      <c r="F48" s="283"/>
      <c r="G48" s="283"/>
      <c r="H48" s="405" t="s">
        <v>92</v>
      </c>
      <c r="I48" s="443" t="s">
        <v>78</v>
      </c>
      <c r="J48" s="401"/>
      <c r="K48" s="281"/>
      <c r="L48" s="281"/>
      <c r="M48" s="281"/>
      <c r="N48" s="281"/>
      <c r="O48" s="282"/>
    </row>
    <row r="49" spans="1:17" ht="12" customHeight="1">
      <c r="A49" s="355"/>
      <c r="B49" s="228"/>
      <c r="C49" s="228"/>
      <c r="D49" s="228"/>
      <c r="E49" s="228"/>
      <c r="F49" s="228"/>
      <c r="G49" s="228"/>
      <c r="H49" s="226" t="s">
        <v>171</v>
      </c>
      <c r="I49" s="227"/>
      <c r="J49" s="227"/>
      <c r="K49" s="227"/>
      <c r="L49" s="227"/>
      <c r="M49" s="227"/>
      <c r="N49" s="227"/>
      <c r="O49" s="406" t="s">
        <v>175</v>
      </c>
      <c r="Q49" s="187"/>
    </row>
    <row r="50" spans="1:17" ht="12.75" customHeight="1">
      <c r="A50" s="407"/>
      <c r="B50" s="187"/>
      <c r="C50" s="187"/>
      <c r="D50" s="187"/>
      <c r="E50" s="187"/>
      <c r="F50" s="187"/>
      <c r="G50" s="187"/>
      <c r="H50" s="408" t="s">
        <v>241</v>
      </c>
      <c r="I50" s="409"/>
      <c r="J50" s="409"/>
      <c r="K50" s="409"/>
      <c r="L50" s="409"/>
      <c r="M50" s="409"/>
      <c r="N50" s="409"/>
      <c r="O50" s="410"/>
      <c r="Q50" s="187"/>
    </row>
    <row r="51" spans="1:17" ht="13.5" customHeight="1">
      <c r="A51" s="407"/>
      <c r="B51" s="187"/>
      <c r="C51" s="187"/>
      <c r="D51" s="187"/>
      <c r="E51" s="187"/>
      <c r="F51" s="187"/>
      <c r="G51" s="187"/>
      <c r="H51" s="411"/>
      <c r="I51" s="412"/>
      <c r="J51" s="412"/>
      <c r="K51" s="412"/>
      <c r="L51" s="412"/>
      <c r="M51" s="412"/>
      <c r="N51" s="412"/>
      <c r="O51" s="413"/>
      <c r="Q51" s="187"/>
    </row>
    <row r="52" spans="1:17" ht="12.75" customHeight="1">
      <c r="A52" s="414"/>
      <c r="B52" s="415"/>
      <c r="C52" s="415"/>
      <c r="D52" s="415"/>
      <c r="E52" s="415"/>
      <c r="F52" s="415"/>
      <c r="G52" s="415"/>
      <c r="H52" s="416"/>
      <c r="I52" s="417"/>
      <c r="J52" s="417"/>
      <c r="K52" s="417"/>
      <c r="L52" s="417"/>
      <c r="M52" s="417"/>
      <c r="N52" s="417"/>
      <c r="O52" s="418"/>
      <c r="Q52" s="187"/>
    </row>
    <row r="53" spans="1:17" s="349" customFormat="1" ht="16.5" customHeight="1">
      <c r="A53" s="419" t="s">
        <v>242</v>
      </c>
      <c r="B53" s="65"/>
      <c r="C53" s="65"/>
      <c r="D53" s="65"/>
      <c r="E53" s="65"/>
      <c r="F53" s="65"/>
      <c r="G53" s="420" t="s">
        <v>243</v>
      </c>
      <c r="H53" s="421"/>
      <c r="I53" s="422"/>
      <c r="M53" s="423"/>
      <c r="O53" s="424" t="s">
        <v>82</v>
      </c>
    </row>
    <row r="54" spans="1:17" ht="14.25" customHeight="1">
      <c r="B54" s="425"/>
      <c r="K54" s="266"/>
      <c r="L54" s="266"/>
    </row>
    <row r="55" spans="1:17" ht="12">
      <c r="A55" s="425"/>
      <c r="B55" s="374"/>
    </row>
    <row r="56" spans="1:17" ht="12">
      <c r="B56" s="426"/>
      <c r="C56" s="427"/>
      <c r="D56" s="428"/>
      <c r="E56" s="425"/>
      <c r="F56" s="374"/>
      <c r="G56" s="374"/>
      <c r="H56" s="374"/>
    </row>
    <row r="57" spans="1:17" ht="12">
      <c r="C57" s="429"/>
      <c r="D57" s="428"/>
      <c r="E57" s="425"/>
      <c r="F57" s="374"/>
      <c r="G57" s="374"/>
      <c r="H57" s="374"/>
    </row>
    <row r="58" spans="1:17" ht="12">
      <c r="C58" s="430"/>
      <c r="D58" s="428"/>
      <c r="E58" s="425"/>
      <c r="F58" s="374"/>
      <c r="G58" s="374"/>
      <c r="H58" s="374"/>
    </row>
    <row r="59" spans="1:17" ht="12">
      <c r="C59" s="431"/>
      <c r="D59" s="428"/>
      <c r="E59" s="425"/>
      <c r="F59" s="374"/>
      <c r="G59" s="374"/>
      <c r="H59" s="374"/>
    </row>
    <row r="66" spans="1:36" ht="12">
      <c r="AF66" s="374"/>
      <c r="AG66" s="374"/>
      <c r="AH66" s="374"/>
      <c r="AI66" s="374"/>
      <c r="AJ66" s="374"/>
    </row>
    <row r="67" spans="1:36" ht="12">
      <c r="AF67" s="374"/>
      <c r="AG67" s="374"/>
      <c r="AH67" s="374"/>
      <c r="AI67" s="374"/>
      <c r="AJ67" s="374"/>
    </row>
    <row r="68" spans="1:36" ht="12">
      <c r="AF68" s="374"/>
      <c r="AG68" s="374"/>
      <c r="AH68" s="374"/>
      <c r="AI68" s="374"/>
      <c r="AJ68" s="374"/>
    </row>
    <row r="69" spans="1:36" ht="12">
      <c r="AF69" s="374"/>
      <c r="AG69" s="374"/>
      <c r="AH69" s="374"/>
      <c r="AI69" s="374"/>
      <c r="AJ69" s="374"/>
    </row>
    <row r="70" spans="1:36" ht="12">
      <c r="AF70" s="374"/>
      <c r="AG70" s="374"/>
      <c r="AH70" s="374"/>
      <c r="AI70" s="374"/>
      <c r="AJ70" s="374"/>
    </row>
    <row r="71" spans="1:36" ht="12">
      <c r="AF71" s="374"/>
      <c r="AG71" s="374"/>
      <c r="AH71" s="374"/>
      <c r="AI71" s="374"/>
      <c r="AJ71" s="374"/>
    </row>
    <row r="72" spans="1:36" ht="12">
      <c r="AF72" s="374"/>
      <c r="AG72" s="374"/>
      <c r="AH72" s="374"/>
      <c r="AI72" s="374"/>
      <c r="AJ72" s="374"/>
    </row>
    <row r="73" spans="1:36" ht="12">
      <c r="AF73" s="374"/>
      <c r="AG73" s="374"/>
      <c r="AH73" s="374"/>
      <c r="AI73" s="374"/>
      <c r="AJ73" s="374"/>
    </row>
    <row r="74" spans="1:36" ht="12">
      <c r="A74" s="432"/>
      <c r="B74" s="432"/>
      <c r="C74" s="433"/>
      <c r="D74" s="433"/>
      <c r="E74" s="432"/>
      <c r="F74" s="432"/>
      <c r="G74" s="432"/>
      <c r="AF74" s="374"/>
      <c r="AG74" s="374"/>
      <c r="AH74" s="374"/>
      <c r="AI74" s="374"/>
      <c r="AJ74" s="374"/>
    </row>
    <row r="75" spans="1:36" ht="12">
      <c r="A75" s="432"/>
      <c r="B75" s="432"/>
      <c r="C75" s="434"/>
      <c r="D75" s="432"/>
      <c r="E75" s="432"/>
      <c r="F75" s="432"/>
      <c r="G75" s="432"/>
      <c r="AF75" s="374"/>
      <c r="AG75" s="374"/>
      <c r="AH75" s="374"/>
      <c r="AI75" s="374"/>
      <c r="AJ75" s="374"/>
    </row>
    <row r="76" spans="1:36" ht="12">
      <c r="A76" s="432"/>
      <c r="B76" s="432"/>
      <c r="C76" s="433"/>
      <c r="D76" s="433"/>
      <c r="E76" s="434"/>
      <c r="F76" s="432"/>
      <c r="G76" s="432"/>
      <c r="AF76" s="374"/>
      <c r="AG76" s="374"/>
      <c r="AH76" s="374"/>
      <c r="AI76" s="374"/>
      <c r="AJ76" s="374"/>
    </row>
    <row r="77" spans="1:36" ht="12">
      <c r="A77" s="432"/>
      <c r="B77" s="432"/>
      <c r="C77" s="432"/>
      <c r="D77" s="432"/>
      <c r="E77" s="432"/>
      <c r="F77" s="432"/>
      <c r="G77" s="432"/>
      <c r="AF77" s="374"/>
      <c r="AG77" s="374"/>
      <c r="AH77" s="374"/>
      <c r="AI77" s="374"/>
      <c r="AJ77" s="374"/>
    </row>
    <row r="78" spans="1:36" ht="12">
      <c r="A78" s="432"/>
      <c r="B78" s="434"/>
      <c r="C78" s="434"/>
      <c r="D78" s="432"/>
      <c r="E78" s="432"/>
      <c r="F78" s="434"/>
      <c r="G78" s="432"/>
      <c r="AF78" s="374"/>
      <c r="AG78" s="374"/>
      <c r="AH78" s="374"/>
      <c r="AI78" s="374"/>
      <c r="AJ78" s="374"/>
    </row>
    <row r="79" spans="1:36" ht="12">
      <c r="A79" s="432"/>
      <c r="B79" s="434"/>
      <c r="C79" s="435"/>
      <c r="D79" s="432"/>
      <c r="E79" s="432"/>
      <c r="F79" s="434"/>
      <c r="G79" s="432"/>
      <c r="AF79" s="374"/>
      <c r="AG79" s="374"/>
      <c r="AH79" s="374"/>
      <c r="AI79" s="374"/>
      <c r="AJ79" s="374"/>
    </row>
    <row r="80" spans="1:36" ht="12">
      <c r="A80" s="432"/>
      <c r="B80" s="434"/>
      <c r="C80" s="435"/>
      <c r="D80" s="432"/>
      <c r="E80" s="432"/>
      <c r="F80" s="434"/>
      <c r="G80" s="432"/>
      <c r="AF80" s="374"/>
      <c r="AG80" s="374"/>
      <c r="AH80" s="374"/>
      <c r="AI80" s="374"/>
      <c r="AJ80" s="374"/>
    </row>
    <row r="81" spans="1:36" ht="12">
      <c r="A81" s="432"/>
      <c r="B81" s="434"/>
      <c r="C81" s="435"/>
      <c r="D81" s="432"/>
      <c r="E81" s="432"/>
      <c r="F81" s="434"/>
      <c r="G81" s="432"/>
      <c r="AF81" s="374"/>
      <c r="AG81" s="374"/>
      <c r="AH81" s="374"/>
      <c r="AI81" s="374"/>
      <c r="AJ81" s="374"/>
    </row>
    <row r="82" spans="1:36">
      <c r="A82" s="432"/>
      <c r="B82" s="434"/>
      <c r="C82" s="432"/>
      <c r="D82" s="432"/>
      <c r="E82" s="432"/>
      <c r="F82" s="434"/>
      <c r="G82" s="432"/>
    </row>
    <row r="83" spans="1:36">
      <c r="A83" s="432"/>
      <c r="B83" s="432"/>
      <c r="C83" s="432"/>
      <c r="D83" s="432"/>
      <c r="E83" s="432"/>
      <c r="F83" s="432"/>
      <c r="G83" s="432"/>
    </row>
    <row r="84" spans="1:36">
      <c r="A84" s="432"/>
      <c r="B84" s="434"/>
      <c r="C84" s="435"/>
      <c r="D84" s="432"/>
      <c r="E84" s="432"/>
      <c r="F84" s="432"/>
      <c r="G84" s="432"/>
    </row>
    <row r="85" spans="1:36">
      <c r="A85" s="432"/>
      <c r="B85" s="432"/>
      <c r="C85" s="432"/>
      <c r="D85" s="432"/>
      <c r="E85" s="432"/>
      <c r="F85" s="432"/>
      <c r="G85" s="432"/>
    </row>
    <row r="86" spans="1:36">
      <c r="A86" s="432"/>
      <c r="B86" s="436"/>
      <c r="C86" s="434"/>
      <c r="D86" s="432"/>
      <c r="E86" s="432"/>
      <c r="F86" s="432"/>
      <c r="G86" s="432"/>
    </row>
    <row r="87" spans="1:36">
      <c r="A87" s="432"/>
      <c r="B87" s="432"/>
      <c r="C87" s="432"/>
      <c r="D87" s="432"/>
      <c r="E87" s="432"/>
      <c r="F87" s="432"/>
      <c r="G87" s="432"/>
    </row>
  </sheetData>
  <mergeCells count="10">
    <mergeCell ref="H38:M38"/>
    <mergeCell ref="F39:G39"/>
    <mergeCell ref="N47:O47"/>
    <mergeCell ref="I3:J3"/>
    <mergeCell ref="A5:G6"/>
    <mergeCell ref="K23:L24"/>
    <mergeCell ref="M23:N24"/>
    <mergeCell ref="H31:I31"/>
    <mergeCell ref="J31:M31"/>
    <mergeCell ref="N31:O31"/>
  </mergeCells>
  <printOptions horizontalCentered="1" verticalCentered="1" gridLinesSet="0"/>
  <pageMargins left="0.38" right="0.32" top="0.57999999999999996" bottom="0.45" header="0" footer="0"/>
  <pageSetup scale="80" orientation="portrait" horizontalDpi="4294967292" vertic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I220"/>
  <sheetViews>
    <sheetView showGridLines="0" tabSelected="1" topLeftCell="C1" zoomScaleNormal="100" workbookViewId="0">
      <selection activeCell="C23" sqref="C23"/>
    </sheetView>
  </sheetViews>
  <sheetFormatPr defaultColWidth="9.109375" defaultRowHeight="13.2"/>
  <cols>
    <col min="1" max="2" width="9.109375" style="8" hidden="1" customWidth="1"/>
    <col min="3" max="3" width="24.44140625" style="8" customWidth="1"/>
    <col min="4" max="4" width="2.33203125" style="8" customWidth="1"/>
    <col min="5" max="5" width="10" style="8" customWidth="1"/>
    <col min="6" max="6" width="7" style="8" customWidth="1"/>
    <col min="7" max="7" width="8.88671875" style="8" customWidth="1"/>
    <col min="8" max="8" width="2.33203125" style="8" customWidth="1"/>
    <col min="9" max="9" width="12.5546875" style="8" customWidth="1"/>
    <col min="10" max="10" width="2.33203125" style="8" customWidth="1"/>
    <col min="11" max="11" width="10.6640625" style="8" hidden="1" customWidth="1"/>
    <col min="12" max="12" width="14.109375" style="8" customWidth="1"/>
    <col min="13" max="13" width="2.33203125" style="8" customWidth="1"/>
    <col min="14" max="14" width="14.109375" style="8" customWidth="1"/>
    <col min="15" max="15" width="2.33203125" style="8" customWidth="1"/>
    <col min="16" max="16" width="14.109375" style="8" customWidth="1"/>
    <col min="17" max="17" width="2.33203125" style="8" customWidth="1"/>
    <col min="18" max="18" width="14.109375" style="8" customWidth="1"/>
    <col min="19" max="19" width="2.33203125" style="8" customWidth="1"/>
    <col min="20" max="20" width="14.109375" style="8" customWidth="1"/>
    <col min="21" max="21" width="2.33203125" style="8" customWidth="1"/>
    <col min="22" max="22" width="10.88671875" style="8" customWidth="1"/>
    <col min="23" max="31" width="9.109375" style="8"/>
    <col min="32" max="35" width="0" style="8" hidden="1" customWidth="1"/>
    <col min="36" max="16384" width="9.109375" style="8"/>
  </cols>
  <sheetData>
    <row r="1" spans="3:32" ht="29.25" customHeight="1">
      <c r="C1" s="925" t="s">
        <v>66</v>
      </c>
      <c r="D1" s="925"/>
      <c r="E1" s="925"/>
      <c r="F1" s="925"/>
      <c r="G1" s="925"/>
      <c r="H1" s="925"/>
      <c r="I1" s="925"/>
    </row>
    <row r="2" spans="3:32" ht="18" customHeight="1">
      <c r="C2" s="925"/>
      <c r="D2" s="925"/>
      <c r="E2" s="925"/>
      <c r="F2" s="925"/>
      <c r="G2" s="925"/>
      <c r="H2" s="925"/>
      <c r="I2" s="925"/>
      <c r="AD2" s="919" t="s">
        <v>455</v>
      </c>
      <c r="AE2" s="920"/>
      <c r="AF2" s="921"/>
    </row>
    <row r="3" spans="3:32" ht="17.399999999999999">
      <c r="C3" s="63" t="s">
        <v>35</v>
      </c>
      <c r="AD3" s="922" t="s">
        <v>473</v>
      </c>
      <c r="AE3" s="923"/>
      <c r="AF3" s="924"/>
    </row>
    <row r="4" spans="3:32">
      <c r="L4" s="57"/>
    </row>
    <row r="5" spans="3:32" ht="13.8">
      <c r="C5" s="700" t="s">
        <v>366</v>
      </c>
      <c r="D5" s="684"/>
      <c r="E5" s="684"/>
      <c r="F5" s="684"/>
      <c r="G5" s="684"/>
      <c r="H5" s="684"/>
      <c r="L5" s="57"/>
    </row>
    <row r="6" spans="3:32" ht="13.8">
      <c r="C6" s="701">
        <v>0.52</v>
      </c>
      <c r="D6" s="682"/>
      <c r="E6" s="702" t="s">
        <v>456</v>
      </c>
      <c r="F6" s="682"/>
      <c r="G6" s="682"/>
      <c r="H6" s="682"/>
      <c r="I6" s="703"/>
      <c r="L6" s="57"/>
    </row>
    <row r="7" spans="3:32" ht="13.8">
      <c r="C7" s="683">
        <v>0.53</v>
      </c>
      <c r="D7" s="684"/>
      <c r="E7" s="685" t="s">
        <v>457</v>
      </c>
      <c r="F7" s="684"/>
      <c r="G7" s="684"/>
      <c r="H7" s="684"/>
      <c r="I7" s="704"/>
      <c r="L7" s="57"/>
    </row>
    <row r="8" spans="3:32" ht="13.8">
      <c r="C8" s="683">
        <v>0.51</v>
      </c>
      <c r="D8" s="684"/>
      <c r="E8" s="685" t="s">
        <v>367</v>
      </c>
      <c r="F8" s="684"/>
      <c r="G8" s="684"/>
      <c r="H8" s="684"/>
      <c r="I8" s="704"/>
      <c r="L8" s="57"/>
    </row>
    <row r="9" spans="3:32" ht="13.8">
      <c r="C9" s="683">
        <v>0.32</v>
      </c>
      <c r="D9" s="684"/>
      <c r="E9" s="685" t="s">
        <v>368</v>
      </c>
      <c r="F9" s="684"/>
      <c r="G9" s="684"/>
      <c r="H9" s="684"/>
      <c r="I9" s="704"/>
      <c r="L9" s="57"/>
    </row>
    <row r="10" spans="3:32" ht="13.8">
      <c r="C10" s="686">
        <v>0.26</v>
      </c>
      <c r="D10" s="687"/>
      <c r="E10" s="688" t="s">
        <v>369</v>
      </c>
      <c r="F10" s="687"/>
      <c r="G10" s="687"/>
      <c r="H10" s="687"/>
      <c r="I10" s="705"/>
      <c r="L10" s="57"/>
    </row>
    <row r="11" spans="3:32">
      <c r="L11" s="57"/>
    </row>
    <row r="12" spans="3:32">
      <c r="L12" s="792" t="s">
        <v>458</v>
      </c>
      <c r="N12" s="114" t="s">
        <v>41</v>
      </c>
    </row>
    <row r="13" spans="3:32">
      <c r="C13" s="50" t="s">
        <v>22</v>
      </c>
      <c r="D13" s="51"/>
      <c r="E13" s="51"/>
      <c r="F13" s="51"/>
      <c r="G13" s="23">
        <v>0</v>
      </c>
      <c r="L13" s="793" t="s">
        <v>459</v>
      </c>
      <c r="N13" s="795">
        <v>0.52</v>
      </c>
    </row>
    <row r="14" spans="3:32">
      <c r="C14" s="52" t="s">
        <v>11</v>
      </c>
      <c r="D14" s="53"/>
      <c r="E14" s="53"/>
      <c r="F14" s="53"/>
      <c r="G14" s="24">
        <v>0.03</v>
      </c>
      <c r="L14" s="793" t="s">
        <v>460</v>
      </c>
      <c r="N14" s="795">
        <v>0.52</v>
      </c>
    </row>
    <row r="15" spans="3:32" ht="15.75" customHeight="1">
      <c r="C15" s="8" t="s">
        <v>36</v>
      </c>
      <c r="G15" s="6">
        <v>0.27500000000000002</v>
      </c>
      <c r="L15" s="793" t="s">
        <v>461</v>
      </c>
      <c r="N15" s="796">
        <v>0.53</v>
      </c>
    </row>
    <row r="16" spans="3:32" ht="12.75" customHeight="1">
      <c r="C16" s="8" t="s">
        <v>37</v>
      </c>
      <c r="G16" s="6">
        <v>0.34499999999999997</v>
      </c>
      <c r="L16" s="793" t="s">
        <v>462</v>
      </c>
      <c r="N16" s="796">
        <v>0.53</v>
      </c>
    </row>
    <row r="17" spans="3:20" ht="12.75" customHeight="1">
      <c r="C17" s="8" t="s">
        <v>38</v>
      </c>
      <c r="G17" s="6">
        <v>0.45800000000000002</v>
      </c>
      <c r="L17" s="793" t="s">
        <v>463</v>
      </c>
      <c r="N17" s="796">
        <v>0.53</v>
      </c>
    </row>
    <row r="18" spans="3:20" ht="12.75" customHeight="1">
      <c r="C18" s="8" t="s">
        <v>162</v>
      </c>
      <c r="G18" s="6">
        <v>0.32900000000000001</v>
      </c>
      <c r="L18" s="793" t="s">
        <v>464</v>
      </c>
      <c r="N18" s="796">
        <v>0.53</v>
      </c>
    </row>
    <row r="19" spans="3:20" ht="12.75" customHeight="1">
      <c r="C19" s="8" t="s">
        <v>164</v>
      </c>
      <c r="G19" s="6">
        <v>6.0000000000000001E-3</v>
      </c>
      <c r="L19" s="793" t="s">
        <v>466</v>
      </c>
      <c r="M19" s="179"/>
      <c r="N19" s="796">
        <v>0.53</v>
      </c>
      <c r="O19" s="180"/>
      <c r="P19" s="180"/>
      <c r="Q19" s="14"/>
      <c r="R19" s="3"/>
    </row>
    <row r="20" spans="3:20" ht="12.75" customHeight="1">
      <c r="C20" s="16" t="s">
        <v>51</v>
      </c>
      <c r="D20" s="16"/>
      <c r="E20" s="16"/>
      <c r="F20" s="16"/>
      <c r="G20" s="800">
        <v>9.8000000000000004E-2</v>
      </c>
      <c r="L20" s="793" t="s">
        <v>467</v>
      </c>
      <c r="N20" s="796">
        <v>0.53</v>
      </c>
    </row>
    <row r="21" spans="3:20" ht="12.75" customHeight="1">
      <c r="G21" s="801"/>
      <c r="L21" s="793" t="s">
        <v>468</v>
      </c>
      <c r="N21" s="796">
        <v>0.53</v>
      </c>
    </row>
    <row r="22" spans="3:20" ht="12.75" customHeight="1">
      <c r="G22" s="801"/>
      <c r="L22" s="793" t="s">
        <v>469</v>
      </c>
      <c r="N22" s="796">
        <v>0.53</v>
      </c>
    </row>
    <row r="23" spans="3:20" ht="18.75" customHeight="1">
      <c r="C23" s="873">
        <v>42917</v>
      </c>
      <c r="E23" s="872" t="s">
        <v>507</v>
      </c>
      <c r="G23" s="801"/>
      <c r="L23" s="7" t="s">
        <v>65</v>
      </c>
    </row>
    <row r="24" spans="3:20" ht="5.25" customHeight="1">
      <c r="G24" s="801"/>
      <c r="L24" s="7"/>
    </row>
    <row r="25" spans="3:20" ht="21" customHeight="1">
      <c r="C25" s="47">
        <v>5</v>
      </c>
      <c r="E25" s="926" t="s">
        <v>163</v>
      </c>
      <c r="F25" s="926"/>
      <c r="G25" s="926"/>
      <c r="H25" s="926"/>
      <c r="I25" s="926"/>
      <c r="J25" s="926"/>
      <c r="K25" s="926"/>
      <c r="P25" s="799"/>
    </row>
    <row r="26" spans="3:20" ht="11.25" customHeight="1">
      <c r="G26" s="6"/>
      <c r="L26" s="73"/>
      <c r="N26" s="67"/>
      <c r="O26" s="67"/>
      <c r="P26" s="67"/>
      <c r="Q26" s="67"/>
      <c r="R26" s="67"/>
      <c r="S26" s="67"/>
      <c r="T26" s="67"/>
    </row>
    <row r="27" spans="3:20" ht="19.5" customHeight="1">
      <c r="C27" s="927"/>
      <c r="D27" s="928"/>
      <c r="E27" s="928"/>
      <c r="F27" s="928"/>
      <c r="G27" s="928"/>
      <c r="H27" s="928"/>
      <c r="I27" s="928"/>
      <c r="J27" s="70"/>
      <c r="K27" s="70"/>
      <c r="L27" s="70"/>
      <c r="M27" s="68"/>
      <c r="N27" s="68"/>
      <c r="O27" s="67"/>
      <c r="P27" s="67"/>
      <c r="Q27" s="67"/>
      <c r="R27" s="67"/>
      <c r="S27" s="67"/>
      <c r="T27" s="67"/>
    </row>
    <row r="28" spans="3:20" ht="19.5" customHeight="1">
      <c r="C28" s="927"/>
      <c r="D28" s="928"/>
      <c r="E28" s="928"/>
      <c r="F28" s="928"/>
      <c r="G28" s="928"/>
      <c r="H28" s="928"/>
      <c r="I28" s="928"/>
      <c r="J28" s="70"/>
      <c r="K28" s="70"/>
      <c r="L28" s="70"/>
      <c r="M28" s="68"/>
      <c r="N28" s="68"/>
      <c r="O28" s="67"/>
      <c r="P28" s="67"/>
      <c r="Q28" s="67"/>
      <c r="R28" s="67"/>
      <c r="S28" s="67"/>
      <c r="T28" s="67"/>
    </row>
    <row r="29" spans="3:20" ht="19.5" customHeight="1">
      <c r="C29" s="927"/>
      <c r="D29" s="928"/>
      <c r="E29" s="928"/>
      <c r="F29" s="928"/>
      <c r="G29" s="928"/>
      <c r="H29" s="928"/>
      <c r="I29" s="928"/>
      <c r="J29" s="70"/>
      <c r="K29" s="70"/>
      <c r="L29" s="70"/>
      <c r="M29" s="68"/>
      <c r="N29" s="68"/>
      <c r="O29" s="67"/>
      <c r="P29" s="67"/>
      <c r="Q29" s="67"/>
      <c r="R29" s="67"/>
      <c r="S29" s="67"/>
      <c r="T29" s="67"/>
    </row>
    <row r="30" spans="3:20" ht="19.5" customHeight="1">
      <c r="C30" s="927"/>
      <c r="D30" s="928"/>
      <c r="E30" s="928"/>
      <c r="F30" s="928"/>
      <c r="G30" s="928"/>
      <c r="H30" s="928"/>
      <c r="I30" s="928"/>
      <c r="J30" s="70"/>
      <c r="K30" s="70"/>
      <c r="L30" s="70"/>
      <c r="M30" s="68"/>
      <c r="N30" s="68"/>
      <c r="O30" s="67"/>
      <c r="P30" s="67"/>
      <c r="Q30" s="67"/>
      <c r="R30" s="67"/>
      <c r="S30" s="67"/>
      <c r="T30" s="67"/>
    </row>
    <row r="31" spans="3:20" s="16" customFormat="1" ht="19.5" customHeight="1">
      <c r="C31" s="71"/>
      <c r="D31" s="930"/>
      <c r="E31" s="930"/>
      <c r="F31" s="930"/>
      <c r="G31" s="930"/>
      <c r="H31" s="930"/>
      <c r="I31" s="930"/>
      <c r="J31" s="72"/>
      <c r="K31" s="72"/>
      <c r="L31" s="72"/>
      <c r="M31" s="69"/>
      <c r="N31" s="69"/>
    </row>
    <row r="32" spans="3:20" ht="12.75" customHeight="1">
      <c r="C32" s="7"/>
      <c r="D32" s="7"/>
      <c r="E32" s="7"/>
      <c r="F32" s="7"/>
      <c r="G32" s="931" t="s">
        <v>470</v>
      </c>
      <c r="H32" s="931"/>
      <c r="I32" s="931"/>
      <c r="J32" s="931"/>
      <c r="K32" s="931"/>
      <c r="L32" s="931"/>
      <c r="M32" s="931"/>
      <c r="N32" s="931"/>
      <c r="O32" s="931"/>
      <c r="P32" s="931"/>
      <c r="Q32" s="931"/>
      <c r="R32" s="931"/>
      <c r="S32" s="931"/>
      <c r="T32" s="931"/>
    </row>
    <row r="33" spans="1:21" ht="12.75" customHeight="1">
      <c r="C33" s="7" t="s">
        <v>0</v>
      </c>
      <c r="D33" s="7"/>
      <c r="E33" s="7"/>
      <c r="F33" s="7"/>
      <c r="G33" s="932"/>
      <c r="H33" s="932"/>
      <c r="I33" s="932"/>
      <c r="J33" s="932"/>
      <c r="K33" s="932"/>
      <c r="L33" s="932"/>
      <c r="M33" s="932"/>
      <c r="N33" s="932"/>
      <c r="O33" s="932"/>
      <c r="P33" s="932"/>
      <c r="Q33" s="932"/>
      <c r="R33" s="932"/>
      <c r="S33" s="932"/>
      <c r="T33" s="932"/>
    </row>
    <row r="34" spans="1:21" ht="12.75" customHeight="1">
      <c r="C34" s="7"/>
      <c r="D34" s="7"/>
      <c r="E34" s="7"/>
      <c r="F34" s="7"/>
      <c r="G34" s="664"/>
      <c r="H34" s="664"/>
      <c r="I34" s="664"/>
      <c r="J34" s="664"/>
      <c r="K34" s="664"/>
      <c r="L34" s="664"/>
      <c r="M34" s="664"/>
      <c r="N34" s="664"/>
      <c r="O34" s="664"/>
      <c r="P34" s="664"/>
      <c r="Q34" s="664"/>
      <c r="R34" s="664"/>
      <c r="S34" s="664"/>
      <c r="T34" s="664"/>
    </row>
    <row r="35" spans="1:21" ht="12.75" customHeight="1">
      <c r="C35" s="7"/>
      <c r="D35" s="7"/>
      <c r="E35" s="678" t="s">
        <v>365</v>
      </c>
      <c r="F35" s="678"/>
      <c r="G35" s="679"/>
      <c r="H35" s="679"/>
      <c r="I35" s="679"/>
      <c r="J35" s="679"/>
      <c r="K35" s="679"/>
      <c r="L35" s="679"/>
      <c r="M35" s="679"/>
      <c r="N35" s="679"/>
      <c r="O35" s="679"/>
      <c r="P35" s="679"/>
      <c r="Q35" s="664"/>
      <c r="R35" s="664"/>
      <c r="S35" s="664"/>
      <c r="T35" s="664"/>
    </row>
    <row r="36" spans="1:21">
      <c r="A36" s="114" t="s">
        <v>364</v>
      </c>
      <c r="C36" s="9" t="s">
        <v>40</v>
      </c>
      <c r="D36" s="9"/>
      <c r="E36" s="9"/>
      <c r="F36" s="9"/>
      <c r="I36" s="794" t="s">
        <v>465</v>
      </c>
      <c r="L36" s="797" t="s">
        <v>459</v>
      </c>
      <c r="M36" s="64"/>
      <c r="N36" s="797" t="str">
        <f>IF(L36=L13,L14,IF(L36=L14,L15,IF(L36=L15,L16,IF(L36=L16,L17,IF(L36=L17,L18,IF(L36=L18,L19,IF(L36=L19,L20,IF(L36=L20,L21,IF(L36=L21,L22)))))))))</f>
        <v>FY18</v>
      </c>
      <c r="O36" s="64"/>
      <c r="P36" s="797" t="str">
        <f>IF(N36=L13,L14,IF(N36=L14,L15,IF(N36=L15,L16,IF(N36=L16,L17,IF(N36=L17,L18,IF(N36=L18,L19,IF(N36=L19,L20,IF(N36=L20,L21,IF(N36=L21,L22)))))))))</f>
        <v>FY19</v>
      </c>
      <c r="Q36" s="64"/>
      <c r="R36" s="797" t="str">
        <f>IF(P36=L13,L14,IF(P36=L14,L15,IF(P36=L15,L16,IF(P36=L16,L17,IF(P36=L17,L18,IF(P36=L18,L19,IF(P36=L19,L20,IF(P36=L20,L21,IF(P36=L21,L22)))))))))</f>
        <v>FY20</v>
      </c>
      <c r="S36" s="64"/>
      <c r="T36" s="797" t="str">
        <f>IF(R36=L13,L14,IF(R36=L14,L15,IF(R36=L15,L16,IF(R36=L16,L17,IF(R36=L17,L18,IF(R36=L18,L19,IF(R36=L19,L20,IF(R36=L20,L21,IF(R36=L21,L22)))))))))</f>
        <v>FY21</v>
      </c>
    </row>
    <row r="37" spans="1:21">
      <c r="C37" s="10" t="s">
        <v>1</v>
      </c>
      <c r="D37" s="11"/>
      <c r="E37" s="676" t="s">
        <v>359</v>
      </c>
      <c r="F37" s="676" t="s">
        <v>360</v>
      </c>
      <c r="G37" s="676" t="s">
        <v>361</v>
      </c>
      <c r="I37" s="10" t="s">
        <v>357</v>
      </c>
      <c r="K37" s="12" t="s">
        <v>2</v>
      </c>
      <c r="L37" s="798" t="s">
        <v>2</v>
      </c>
      <c r="N37" s="798" t="s">
        <v>3</v>
      </c>
      <c r="P37" s="798" t="s">
        <v>4</v>
      </c>
      <c r="R37" s="798" t="s">
        <v>5</v>
      </c>
      <c r="T37" s="798" t="s">
        <v>6</v>
      </c>
    </row>
    <row r="38" spans="1:21">
      <c r="A38" s="64">
        <f>IF(B38=1,A37+1,0)</f>
        <v>1</v>
      </c>
      <c r="B38" s="112">
        <f>IF(G38=0,0,1)</f>
        <v>1</v>
      </c>
      <c r="C38" s="66" t="s">
        <v>159</v>
      </c>
      <c r="E38" s="677">
        <v>0</v>
      </c>
      <c r="F38" s="677">
        <v>0</v>
      </c>
      <c r="G38" s="677">
        <v>1</v>
      </c>
      <c r="I38" s="13">
        <v>0</v>
      </c>
      <c r="J38" s="14"/>
      <c r="K38" s="1" t="e">
        <f>#REF!*H38</f>
        <v>#REF!</v>
      </c>
      <c r="L38" s="1">
        <f t="shared" ref="L38:L43" si="0">ROUND(E38*I38+F38*I38+G38*I38,0)</f>
        <v>0</v>
      </c>
      <c r="M38" s="14"/>
      <c r="N38" s="1">
        <f>IF(term&gt;1,ROUND(SUM(L38+(L38*$G$14)),0),0)</f>
        <v>0</v>
      </c>
      <c r="O38" s="14"/>
      <c r="P38" s="1">
        <f t="shared" ref="P38:P43" si="1">IF(term&gt;2,ROUND(SUM(N38+(N38*$G$14)),0),0)</f>
        <v>0</v>
      </c>
      <c r="Q38" s="14"/>
      <c r="R38" s="1">
        <f t="shared" ref="R38:R43" si="2">IF(term&gt;3,ROUND(SUM(P38+(P38*$G$14)),0),0)</f>
        <v>0</v>
      </c>
      <c r="S38" s="14"/>
      <c r="T38" s="1">
        <f>IF(term&gt;4,ROUND(SUM(R38+(R38*$G$14)),0),0)</f>
        <v>0</v>
      </c>
      <c r="U38" s="14"/>
    </row>
    <row r="39" spans="1:21">
      <c r="A39" s="64">
        <f>IF(B39=1,SUM(A38:A38)+1,0)</f>
        <v>0</v>
      </c>
      <c r="B39" s="112">
        <f>IF(G39=0,0,1)</f>
        <v>0</v>
      </c>
      <c r="E39" s="677">
        <v>0</v>
      </c>
      <c r="F39" s="677">
        <v>0</v>
      </c>
      <c r="G39" s="677">
        <v>0</v>
      </c>
      <c r="I39" s="13">
        <v>0</v>
      </c>
      <c r="J39" s="14"/>
      <c r="K39" s="1" t="e">
        <f>#REF!*H39</f>
        <v>#REF!</v>
      </c>
      <c r="L39" s="1">
        <f t="shared" si="0"/>
        <v>0</v>
      </c>
      <c r="M39" s="14"/>
      <c r="N39" s="1">
        <f t="shared" ref="N39:N43" si="3">IF(term&gt;1,ROUND(SUM(L39+(L39*$G$14)),0),0)</f>
        <v>0</v>
      </c>
      <c r="O39" s="14"/>
      <c r="P39" s="1">
        <f t="shared" si="1"/>
        <v>0</v>
      </c>
      <c r="Q39" s="14"/>
      <c r="R39" s="1">
        <f t="shared" si="2"/>
        <v>0</v>
      </c>
      <c r="S39" s="14"/>
      <c r="T39" s="1">
        <f t="shared" ref="T39:T43" si="4">IF(term&gt;4,ROUND(SUM(R39+(R39*$G$14)),0),0)</f>
        <v>0</v>
      </c>
      <c r="U39" s="14"/>
    </row>
    <row r="40" spans="1:21">
      <c r="A40" s="64">
        <f>IF(B40=1,SUM(B38:B39)+1,0)</f>
        <v>0</v>
      </c>
      <c r="B40" s="112">
        <f>IF(G40=0,0,1)</f>
        <v>0</v>
      </c>
      <c r="E40" s="677">
        <v>0</v>
      </c>
      <c r="F40" s="677">
        <v>0</v>
      </c>
      <c r="G40" s="677">
        <v>0</v>
      </c>
      <c r="I40" s="13">
        <v>0</v>
      </c>
      <c r="J40" s="14"/>
      <c r="K40" s="1" t="e">
        <f>#REF!*H40</f>
        <v>#REF!</v>
      </c>
      <c r="L40" s="1">
        <f t="shared" si="0"/>
        <v>0</v>
      </c>
      <c r="M40" s="14"/>
      <c r="N40" s="1">
        <f t="shared" si="3"/>
        <v>0</v>
      </c>
      <c r="O40" s="14"/>
      <c r="P40" s="1">
        <f t="shared" si="1"/>
        <v>0</v>
      </c>
      <c r="Q40" s="14"/>
      <c r="R40" s="1">
        <f t="shared" si="2"/>
        <v>0</v>
      </c>
      <c r="S40" s="14"/>
      <c r="T40" s="1">
        <f t="shared" si="4"/>
        <v>0</v>
      </c>
      <c r="U40" s="14"/>
    </row>
    <row r="41" spans="1:21" ht="12" customHeight="1">
      <c r="A41" s="64">
        <f>IF(B41=1,SUM(B38:B40)+1,0)</f>
        <v>0</v>
      </c>
      <c r="B41" s="112">
        <f>IF(G41=0,0,1)</f>
        <v>0</v>
      </c>
      <c r="E41" s="677">
        <v>0</v>
      </c>
      <c r="F41" s="677">
        <v>0</v>
      </c>
      <c r="G41" s="677">
        <v>0</v>
      </c>
      <c r="I41" s="13">
        <v>0</v>
      </c>
      <c r="J41" s="14"/>
      <c r="K41" s="1" t="e">
        <f>#REF!*H41</f>
        <v>#REF!</v>
      </c>
      <c r="L41" s="1">
        <f t="shared" si="0"/>
        <v>0</v>
      </c>
      <c r="M41" s="14"/>
      <c r="N41" s="1">
        <f t="shared" si="3"/>
        <v>0</v>
      </c>
      <c r="O41" s="14"/>
      <c r="P41" s="1">
        <f t="shared" si="1"/>
        <v>0</v>
      </c>
      <c r="Q41" s="14"/>
      <c r="R41" s="1">
        <f t="shared" si="2"/>
        <v>0</v>
      </c>
      <c r="S41" s="14"/>
      <c r="T41" s="1">
        <f t="shared" si="4"/>
        <v>0</v>
      </c>
      <c r="U41" s="14"/>
    </row>
    <row r="42" spans="1:21" ht="12" customHeight="1">
      <c r="A42" s="64"/>
      <c r="B42" s="112"/>
      <c r="E42" s="677">
        <v>0</v>
      </c>
      <c r="F42" s="677">
        <v>0</v>
      </c>
      <c r="G42" s="677">
        <v>0</v>
      </c>
      <c r="I42" s="13">
        <v>0</v>
      </c>
      <c r="J42" s="14"/>
      <c r="K42" s="1" t="e">
        <f>#REF!*H42</f>
        <v>#REF!</v>
      </c>
      <c r="L42" s="1">
        <f t="shared" si="0"/>
        <v>0</v>
      </c>
      <c r="M42" s="14"/>
      <c r="N42" s="1">
        <f t="shared" si="3"/>
        <v>0</v>
      </c>
      <c r="O42" s="14"/>
      <c r="P42" s="1">
        <f t="shared" si="1"/>
        <v>0</v>
      </c>
      <c r="Q42" s="14"/>
      <c r="R42" s="1">
        <f t="shared" si="2"/>
        <v>0</v>
      </c>
      <c r="S42" s="14"/>
      <c r="T42" s="1">
        <f t="shared" si="4"/>
        <v>0</v>
      </c>
      <c r="U42" s="14"/>
    </row>
    <row r="43" spans="1:21">
      <c r="A43" s="64">
        <f>IF(B43=1,SUM(B38:B41)+1,0)</f>
        <v>0</v>
      </c>
      <c r="B43" s="112">
        <f>IF(G43=0,0,1)</f>
        <v>0</v>
      </c>
      <c r="E43" s="677">
        <v>0</v>
      </c>
      <c r="F43" s="677">
        <v>0</v>
      </c>
      <c r="G43" s="677">
        <v>0</v>
      </c>
      <c r="I43" s="15">
        <v>0</v>
      </c>
      <c r="J43" s="14"/>
      <c r="K43" s="2" t="e">
        <f>#REF!*H43</f>
        <v>#REF!</v>
      </c>
      <c r="L43" s="2">
        <f t="shared" si="0"/>
        <v>0</v>
      </c>
      <c r="M43" s="14"/>
      <c r="N43" s="2">
        <f t="shared" si="3"/>
        <v>0</v>
      </c>
      <c r="O43" s="14"/>
      <c r="P43" s="2">
        <f t="shared" si="1"/>
        <v>0</v>
      </c>
      <c r="Q43" s="14"/>
      <c r="R43" s="2">
        <f t="shared" si="2"/>
        <v>0</v>
      </c>
      <c r="S43" s="14"/>
      <c r="T43" s="2">
        <f t="shared" si="4"/>
        <v>0</v>
      </c>
      <c r="U43" s="14"/>
    </row>
    <row r="44" spans="1:21">
      <c r="C44" s="9" t="s">
        <v>7</v>
      </c>
      <c r="K44" s="48" t="e">
        <f>SUM(K38:K43)</f>
        <v>#REF!</v>
      </c>
      <c r="L44" s="36">
        <f>SUM(L38:L43)</f>
        <v>0</v>
      </c>
      <c r="M44" s="40"/>
      <c r="N44" s="36">
        <f>SUM(N38:N43)</f>
        <v>0</v>
      </c>
      <c r="O44" s="40"/>
      <c r="P44" s="36">
        <f>SUM(P38:P43)</f>
        <v>0</v>
      </c>
      <c r="Q44" s="40"/>
      <c r="R44" s="36">
        <f>SUM(R38:R43)</f>
        <v>0</v>
      </c>
      <c r="S44" s="40"/>
      <c r="T44" s="36">
        <f>SUM(T38:T43)</f>
        <v>0</v>
      </c>
      <c r="U44" s="48"/>
    </row>
    <row r="45" spans="1:21">
      <c r="L45" s="14"/>
    </row>
    <row r="46" spans="1:21">
      <c r="C46" s="9" t="s">
        <v>42</v>
      </c>
      <c r="D46" s="9"/>
      <c r="E46" s="9"/>
      <c r="F46" s="9"/>
      <c r="L46" s="14"/>
    </row>
    <row r="47" spans="1:21">
      <c r="C47" s="10" t="s">
        <v>1</v>
      </c>
      <c r="G47" s="10" t="s">
        <v>358</v>
      </c>
      <c r="I47" s="10" t="s">
        <v>357</v>
      </c>
      <c r="L47" s="726" t="s">
        <v>2</v>
      </c>
      <c r="N47" s="12" t="s">
        <v>3</v>
      </c>
      <c r="P47" s="12" t="s">
        <v>4</v>
      </c>
      <c r="R47" s="12" t="s">
        <v>5</v>
      </c>
      <c r="T47" s="12" t="s">
        <v>6</v>
      </c>
    </row>
    <row r="48" spans="1:21">
      <c r="A48" s="64">
        <f>IF(B48=1,SUM(B38:B43)+1,0)</f>
        <v>0</v>
      </c>
      <c r="B48" s="112">
        <f>IF(G48=0,0,1)</f>
        <v>0</v>
      </c>
      <c r="G48" s="668">
        <v>0</v>
      </c>
      <c r="I48" s="13">
        <v>0</v>
      </c>
      <c r="J48" s="14"/>
      <c r="K48" s="14">
        <f>+L48*Professional</f>
        <v>0</v>
      </c>
      <c r="L48" s="1">
        <f>ROUND(G48*I48,0)</f>
        <v>0</v>
      </c>
      <c r="M48" s="14"/>
      <c r="N48" s="1">
        <f>IF(term&gt;1,ROUND(SUM(L48+(L48*$G$14)),0),0)</f>
        <v>0</v>
      </c>
      <c r="O48" s="14"/>
      <c r="P48" s="1">
        <f>IF(term&gt;2,ROUND(SUM(N48+(N48*$G$14)),0),0)</f>
        <v>0</v>
      </c>
      <c r="Q48" s="14"/>
      <c r="R48" s="1">
        <f>IF(term&gt;3,ROUND(SUM(P48+(P48*$G$14)),0),0)</f>
        <v>0</v>
      </c>
      <c r="S48" s="14"/>
      <c r="T48" s="1">
        <f>IF(term&gt;4,ROUND(SUM(R48+(R48*$G$14)),0),0)</f>
        <v>0</v>
      </c>
    </row>
    <row r="49" spans="1:20">
      <c r="A49" s="64">
        <f>IF(B49=1,SUM(B38:B48)+1,0)</f>
        <v>0</v>
      </c>
      <c r="B49" s="112">
        <f>IF(G49=0,0,1)</f>
        <v>0</v>
      </c>
      <c r="G49" s="668">
        <v>0</v>
      </c>
      <c r="I49" s="13">
        <v>0</v>
      </c>
      <c r="J49" s="14"/>
      <c r="K49" s="14">
        <f>+L49*Professional</f>
        <v>0</v>
      </c>
      <c r="L49" s="1">
        <f t="shared" ref="L49:L52" si="5">ROUND(G49*I49,0)</f>
        <v>0</v>
      </c>
      <c r="M49" s="14"/>
      <c r="N49" s="1">
        <f>IF(term&gt;1,ROUND(SUM(L49+(L49*$G$14)),0),0)</f>
        <v>0</v>
      </c>
      <c r="O49" s="14"/>
      <c r="P49" s="1">
        <f>IF(term&gt;2,ROUND(SUM(N49+(N49*$G$14)),0),0)</f>
        <v>0</v>
      </c>
      <c r="Q49" s="14"/>
      <c r="R49" s="1">
        <f>IF(term&gt;3,ROUND(SUM(P49+(P49*$G$14)),0),0)</f>
        <v>0</v>
      </c>
      <c r="S49" s="14"/>
      <c r="T49" s="1">
        <f>IF(term&gt;4,ROUND(SUM(R49+(R49*$G$14)),0),0)</f>
        <v>0</v>
      </c>
    </row>
    <row r="50" spans="1:20">
      <c r="A50" s="64">
        <f>IF(B50=1,SUM(B38:B49)+1,0)</f>
        <v>0</v>
      </c>
      <c r="B50" s="112">
        <f>IF(G50=0,0,1)</f>
        <v>0</v>
      </c>
      <c r="G50" s="668">
        <v>0</v>
      </c>
      <c r="I50" s="13">
        <v>0</v>
      </c>
      <c r="J50" s="14"/>
      <c r="K50" s="14">
        <f>+L50*Professional</f>
        <v>0</v>
      </c>
      <c r="L50" s="1">
        <f t="shared" si="5"/>
        <v>0</v>
      </c>
      <c r="M50" s="14"/>
      <c r="N50" s="1">
        <f>IF(term&gt;1,ROUND(SUM(L50+(L50*$G$14)),0),0)</f>
        <v>0</v>
      </c>
      <c r="O50" s="14"/>
      <c r="P50" s="1">
        <f>IF(term&gt;2,ROUND(SUM(N50+(N50*$G$14)),0),0)</f>
        <v>0</v>
      </c>
      <c r="Q50" s="14"/>
      <c r="R50" s="1">
        <f>IF(term&gt;3,ROUND(SUM(P50+(P50*$G$14)),0),0)</f>
        <v>0</v>
      </c>
      <c r="S50" s="14"/>
      <c r="T50" s="1">
        <f>IF(term&gt;4,ROUND(SUM(R50+(R50*$G$14)),0),0)</f>
        <v>0</v>
      </c>
    </row>
    <row r="51" spans="1:20">
      <c r="A51" s="64">
        <f>IF(B51=1,SUM(B38:B50)+1,0)</f>
        <v>0</v>
      </c>
      <c r="B51" s="112">
        <f>IF(G51=0,0,1)</f>
        <v>0</v>
      </c>
      <c r="G51" s="668">
        <v>0</v>
      </c>
      <c r="I51" s="13">
        <v>0</v>
      </c>
      <c r="J51" s="14"/>
      <c r="K51" s="14">
        <f>+L51*Professional</f>
        <v>0</v>
      </c>
      <c r="L51" s="1">
        <f t="shared" si="5"/>
        <v>0</v>
      </c>
      <c r="M51" s="14"/>
      <c r="N51" s="1">
        <f>IF(term&gt;1,ROUND(SUM(L51+(L51*$G$14)),0),0)</f>
        <v>0</v>
      </c>
      <c r="O51" s="14"/>
      <c r="P51" s="1">
        <f>IF(term&gt;2,ROUND(SUM(N51+(N51*$G$14)),0),0)</f>
        <v>0</v>
      </c>
      <c r="Q51" s="14"/>
      <c r="R51" s="1">
        <f>IF(term&gt;3,ROUND(SUM(P51+(P51*$G$14)),0),0)</f>
        <v>0</v>
      </c>
      <c r="S51" s="14"/>
      <c r="T51" s="1">
        <f>IF(term&gt;4,ROUND(SUM(R51+(R51*$G$14)),0),0)</f>
        <v>0</v>
      </c>
    </row>
    <row r="52" spans="1:20">
      <c r="A52" s="64">
        <f>IF(B52=1,SUM(B38:B51)+1,0)</f>
        <v>0</v>
      </c>
      <c r="B52" s="112">
        <f>IF(G52=0,0,1)</f>
        <v>0</v>
      </c>
      <c r="G52" s="669">
        <v>0</v>
      </c>
      <c r="I52" s="15">
        <v>0</v>
      </c>
      <c r="J52" s="14"/>
      <c r="K52" s="14">
        <f>+L52*Professional</f>
        <v>0</v>
      </c>
      <c r="L52" s="2">
        <f t="shared" si="5"/>
        <v>0</v>
      </c>
      <c r="M52" s="14"/>
      <c r="N52" s="2">
        <f>IF(term&gt;1,ROUND(SUM(L52+(L52*$G$14)),0),0)</f>
        <v>0</v>
      </c>
      <c r="O52" s="14"/>
      <c r="P52" s="2">
        <f>IF(term&gt;2,ROUND(SUM(N52+(N52*$G$14)),0),0)</f>
        <v>0</v>
      </c>
      <c r="Q52" s="14"/>
      <c r="R52" s="2">
        <f>IF(term&gt;3,ROUND(SUM(P52+(P52*$G$14)),0),0)</f>
        <v>0</v>
      </c>
      <c r="S52" s="14"/>
      <c r="T52" s="2">
        <f>IF(term&gt;4,ROUND(SUM(R52+(R52*$G$14)),0),0)</f>
        <v>0</v>
      </c>
    </row>
    <row r="53" spans="1:20">
      <c r="C53" s="9" t="s">
        <v>7</v>
      </c>
      <c r="L53" s="36">
        <f>SUM(L48:L52)</f>
        <v>0</v>
      </c>
      <c r="M53" s="40"/>
      <c r="N53" s="36">
        <f>SUM(N48:N52)</f>
        <v>0</v>
      </c>
      <c r="O53" s="40"/>
      <c r="P53" s="36">
        <f>SUM(P48:P52)</f>
        <v>0</v>
      </c>
      <c r="Q53" s="40"/>
      <c r="R53" s="36">
        <f>SUM(R48:R52)</f>
        <v>0</v>
      </c>
      <c r="S53" s="40"/>
      <c r="T53" s="36">
        <f>SUM(T48:T52)</f>
        <v>0</v>
      </c>
    </row>
    <row r="54" spans="1:20">
      <c r="L54" s="14"/>
    </row>
    <row r="55" spans="1:20">
      <c r="L55" s="14"/>
    </row>
    <row r="56" spans="1:20">
      <c r="C56" s="9" t="s">
        <v>43</v>
      </c>
      <c r="D56" s="9"/>
      <c r="E56" s="9"/>
      <c r="F56" s="9"/>
      <c r="L56" s="14"/>
    </row>
    <row r="57" spans="1:20">
      <c r="C57" s="10" t="s">
        <v>1</v>
      </c>
      <c r="G57" s="10" t="s">
        <v>358</v>
      </c>
      <c r="I57" s="10" t="s">
        <v>357</v>
      </c>
      <c r="L57" s="726" t="s">
        <v>2</v>
      </c>
      <c r="N57" s="12" t="s">
        <v>3</v>
      </c>
      <c r="P57" s="12" t="s">
        <v>4</v>
      </c>
      <c r="R57" s="12" t="s">
        <v>5</v>
      </c>
      <c r="T57" s="12" t="s">
        <v>6</v>
      </c>
    </row>
    <row r="58" spans="1:20">
      <c r="A58" s="64">
        <f>IF(B58=1,SUM($B$38:B57)+1,0)</f>
        <v>0</v>
      </c>
      <c r="B58" s="112">
        <f>IF(G58=0,0,1)</f>
        <v>0</v>
      </c>
      <c r="G58" s="668">
        <v>0</v>
      </c>
      <c r="I58" s="13">
        <v>0</v>
      </c>
      <c r="K58" s="8">
        <f>+L58*Merit</f>
        <v>0</v>
      </c>
      <c r="L58" s="1">
        <f>ROUND(G58*I58,0)</f>
        <v>0</v>
      </c>
      <c r="M58" s="14"/>
      <c r="N58" s="1">
        <f>IF(term&gt;1,ROUND(SUM(L58+(L58*$G$14)),0),0)</f>
        <v>0</v>
      </c>
      <c r="O58" s="14"/>
      <c r="P58" s="1">
        <f>IF(term&gt;2,ROUND(SUM(N58+(N58*$G$14)),0),0)</f>
        <v>0</v>
      </c>
      <c r="Q58" s="14"/>
      <c r="R58" s="1">
        <f>IF(term&gt;3,ROUND(SUM(P58+(P58*$G$14)),0),0)</f>
        <v>0</v>
      </c>
      <c r="S58" s="14"/>
      <c r="T58" s="1">
        <f>IF(term&gt;4,ROUND(SUM(R58+(R58*$G$14)),0),0)</f>
        <v>0</v>
      </c>
    </row>
    <row r="59" spans="1:20">
      <c r="A59" s="64">
        <f>IF(B59=1,SUM($B$38:B58)+1,0)</f>
        <v>0</v>
      </c>
      <c r="B59" s="112">
        <f>IF(G59=0,0,1)</f>
        <v>0</v>
      </c>
      <c r="G59" s="668">
        <v>0</v>
      </c>
      <c r="I59" s="13">
        <v>0</v>
      </c>
      <c r="K59" s="8">
        <f>+L59*Merit</f>
        <v>0</v>
      </c>
      <c r="L59" s="1">
        <f t="shared" ref="L59:L62" si="6">ROUND(G59*I59,0)</f>
        <v>0</v>
      </c>
      <c r="M59" s="14"/>
      <c r="N59" s="1">
        <f>IF(term&gt;1,ROUND(SUM(L59+(L59*$G$14)),0),0)</f>
        <v>0</v>
      </c>
      <c r="O59" s="14"/>
      <c r="P59" s="1">
        <f>IF(term&gt;2,ROUND(SUM(N59+(N59*$G$14)),0),0)</f>
        <v>0</v>
      </c>
      <c r="Q59" s="14"/>
      <c r="R59" s="1">
        <f>IF(term&gt;3,ROUND(SUM(P59+(P59*$G$14)),0),0)</f>
        <v>0</v>
      </c>
      <c r="S59" s="14"/>
      <c r="T59" s="1">
        <f>IF(term&gt;4,ROUND(SUM(R59+(R59*$G$14)),0),0)</f>
        <v>0</v>
      </c>
    </row>
    <row r="60" spans="1:20">
      <c r="A60" s="64">
        <f>IF(B60=1,SUM($B$38:B59)+1,0)</f>
        <v>0</v>
      </c>
      <c r="B60" s="112">
        <f>IF(G60=0,0,1)</f>
        <v>0</v>
      </c>
      <c r="G60" s="668">
        <v>0</v>
      </c>
      <c r="I60" s="13">
        <v>0</v>
      </c>
      <c r="K60" s="8">
        <f>+L60*Merit</f>
        <v>0</v>
      </c>
      <c r="L60" s="1">
        <f t="shared" si="6"/>
        <v>0</v>
      </c>
      <c r="M60" s="14"/>
      <c r="N60" s="1">
        <f>IF(term&gt;1,ROUND(SUM(L60+(L60*$G$14)),0),0)</f>
        <v>0</v>
      </c>
      <c r="O60" s="14"/>
      <c r="P60" s="1">
        <f>IF(term&gt;2,ROUND(SUM(N60+(N60*$G$14)),0),0)</f>
        <v>0</v>
      </c>
      <c r="Q60" s="14"/>
      <c r="R60" s="1">
        <f>IF(term&gt;3,ROUND(SUM(P60+(P60*$G$14)),0),0)</f>
        <v>0</v>
      </c>
      <c r="S60" s="14"/>
      <c r="T60" s="1">
        <f>IF(term&gt;4,ROUND(SUM(R60+(R60*$G$14)),0),0)</f>
        <v>0</v>
      </c>
    </row>
    <row r="61" spans="1:20">
      <c r="A61" s="64">
        <f>IF(B61=1,SUM($B$38:B60)+1,0)</f>
        <v>0</v>
      </c>
      <c r="B61" s="112">
        <f>IF(G61=0,0,1)</f>
        <v>0</v>
      </c>
      <c r="G61" s="668">
        <v>0</v>
      </c>
      <c r="I61" s="13">
        <v>0</v>
      </c>
      <c r="K61" s="8">
        <f>+L61*Merit</f>
        <v>0</v>
      </c>
      <c r="L61" s="1">
        <f t="shared" si="6"/>
        <v>0</v>
      </c>
      <c r="M61" s="14"/>
      <c r="N61" s="1">
        <f>IF(term&gt;1,ROUND(SUM(L61+(L61*$G$14)),0),0)</f>
        <v>0</v>
      </c>
      <c r="O61" s="14"/>
      <c r="P61" s="1">
        <f>IF(term&gt;2,ROUND(SUM(N61+(N61*$G$14)),0),0)</f>
        <v>0</v>
      </c>
      <c r="Q61" s="14"/>
      <c r="R61" s="1">
        <f>IF(term&gt;3,ROUND(SUM(P61+(P61*$G$14)),0),0)</f>
        <v>0</v>
      </c>
      <c r="S61" s="14"/>
      <c r="T61" s="1">
        <f>IF(term&gt;4,ROUND(SUM(R61+(R61*$G$14)),0),0)</f>
        <v>0</v>
      </c>
    </row>
    <row r="62" spans="1:20">
      <c r="A62" s="64">
        <f>IF(B62=1,SUM($B$38:B61)+1,0)</f>
        <v>0</v>
      </c>
      <c r="B62" s="112">
        <f>IF(G62=0,0,1)</f>
        <v>0</v>
      </c>
      <c r="G62" s="669">
        <v>0</v>
      </c>
      <c r="I62" s="15">
        <v>0</v>
      </c>
      <c r="K62" s="8">
        <f>+L62*Merit</f>
        <v>0</v>
      </c>
      <c r="L62" s="2">
        <f t="shared" si="6"/>
        <v>0</v>
      </c>
      <c r="M62" s="14"/>
      <c r="N62" s="2">
        <f>IF(term&gt;1,ROUND(SUM(L62+(L62*$G$14)),0),0)</f>
        <v>0</v>
      </c>
      <c r="O62" s="14"/>
      <c r="P62" s="2">
        <f>IF(term&gt;2,ROUND(SUM(N62+(N62*$G$14)),0),0)</f>
        <v>0</v>
      </c>
      <c r="Q62" s="14"/>
      <c r="R62" s="2">
        <f>IF(term&gt;3,ROUND(SUM(P62+(P62*$G$14)),0),0)</f>
        <v>0</v>
      </c>
      <c r="S62" s="14"/>
      <c r="T62" s="2">
        <f>IF(term&gt;4,ROUND(SUM(R62+(R62*$G$14)),0),0)</f>
        <v>0</v>
      </c>
    </row>
    <row r="63" spans="1:20">
      <c r="C63" s="9" t="s">
        <v>7</v>
      </c>
      <c r="L63" s="36">
        <f>SUM(L58:L62)</f>
        <v>0</v>
      </c>
      <c r="M63" s="40"/>
      <c r="N63" s="36">
        <f>SUM(N58:N62)</f>
        <v>0</v>
      </c>
      <c r="O63" s="40"/>
      <c r="P63" s="36">
        <f>SUM(P58:P62)</f>
        <v>0</v>
      </c>
      <c r="Q63" s="40"/>
      <c r="R63" s="36">
        <f>SUM(R58:R62)</f>
        <v>0</v>
      </c>
      <c r="S63" s="40"/>
      <c r="T63" s="36">
        <f>SUM(T58:T62)</f>
        <v>0</v>
      </c>
    </row>
    <row r="64" spans="1:20">
      <c r="L64" s="14"/>
    </row>
    <row r="65" spans="1:20">
      <c r="L65" s="14"/>
    </row>
    <row r="66" spans="1:20" ht="15">
      <c r="C66" s="9" t="s">
        <v>44</v>
      </c>
      <c r="D66" s="9"/>
      <c r="E66" s="9"/>
      <c r="F66" s="9"/>
      <c r="G66" s="664" t="s">
        <v>471</v>
      </c>
      <c r="H66" s="664"/>
      <c r="I66" s="664"/>
      <c r="J66" s="664"/>
      <c r="K66" s="664"/>
      <c r="L66" s="727"/>
      <c r="M66" s="664"/>
      <c r="N66" s="664"/>
      <c r="O66" s="664"/>
      <c r="P66" s="664"/>
      <c r="Q66" s="664"/>
      <c r="R66" s="664"/>
      <c r="S66" s="666"/>
      <c r="T66" s="666"/>
    </row>
    <row r="67" spans="1:20">
      <c r="C67" s="10" t="s">
        <v>1</v>
      </c>
      <c r="G67" s="10" t="s">
        <v>358</v>
      </c>
      <c r="I67" s="10" t="s">
        <v>357</v>
      </c>
      <c r="L67" s="726" t="s">
        <v>2</v>
      </c>
      <c r="N67" s="12" t="s">
        <v>3</v>
      </c>
      <c r="P67" s="12" t="s">
        <v>4</v>
      </c>
      <c r="R67" s="12" t="s">
        <v>5</v>
      </c>
      <c r="T67" s="12" t="s">
        <v>6</v>
      </c>
    </row>
    <row r="68" spans="1:20">
      <c r="A68" s="64">
        <f>IF(B68=1,SUM($B$38:B67)+1,0)</f>
        <v>0</v>
      </c>
      <c r="B68" s="112">
        <f>IF(G68=0,0,1)</f>
        <v>0</v>
      </c>
      <c r="G68" s="668">
        <v>0</v>
      </c>
      <c r="I68" s="13">
        <v>0</v>
      </c>
      <c r="K68" s="8">
        <f>+L68*PostDoc</f>
        <v>0</v>
      </c>
      <c r="L68" s="1">
        <f>ROUND(G68*I68,0)</f>
        <v>0</v>
      </c>
      <c r="M68" s="14"/>
      <c r="N68" s="1">
        <f>IF(term&gt;1,ROUND(SUM((L68*(1+$G$14)),0),0))</f>
        <v>0</v>
      </c>
      <c r="O68" s="14"/>
      <c r="P68" s="1">
        <f>IF(term&gt;2,ROUND(SUM((N68*(1+$G$14))),0),0)</f>
        <v>0</v>
      </c>
      <c r="Q68" s="14"/>
      <c r="R68" s="1">
        <f>IF(term&gt;3,ROUND(SUM((P68*(1+$G$14))),0),0)</f>
        <v>0</v>
      </c>
      <c r="S68" s="14"/>
      <c r="T68" s="1">
        <f>IF(term&gt;4,ROUND(SUM((R68*(1+$G$14))),0),0)</f>
        <v>0</v>
      </c>
    </row>
    <row r="69" spans="1:20">
      <c r="A69" s="64">
        <f>IF(B69=1,SUM($B$38:B68)+1,0)</f>
        <v>0</v>
      </c>
      <c r="B69" s="112">
        <f>IF(G69=0,0,1)</f>
        <v>0</v>
      </c>
      <c r="G69" s="668">
        <v>0</v>
      </c>
      <c r="I69" s="13">
        <v>0</v>
      </c>
      <c r="K69" s="8">
        <f>+L69*PostDoc</f>
        <v>0</v>
      </c>
      <c r="L69" s="1">
        <f t="shared" ref="L69:L72" si="7">ROUND(G69*I69,0)</f>
        <v>0</v>
      </c>
      <c r="M69" s="14"/>
      <c r="N69" s="1">
        <f>IF(term&gt;1,ROUND(SUM((L69*(1+$G$14)),0),0))</f>
        <v>0</v>
      </c>
      <c r="O69" s="14"/>
      <c r="P69" s="1">
        <f>IF(term&gt;2,ROUND(SUM((N69*(1+$G$14))),0),0)</f>
        <v>0</v>
      </c>
      <c r="Q69" s="14"/>
      <c r="R69" s="1">
        <f>IF(term&gt;3,ROUND(SUM((P69*(1+$G$14))),0),0)</f>
        <v>0</v>
      </c>
      <c r="S69" s="14"/>
      <c r="T69" s="1">
        <f>IF(term&gt;4,ROUND(SUM((R69*(1+$G$14))),0),0)</f>
        <v>0</v>
      </c>
    </row>
    <row r="70" spans="1:20">
      <c r="A70" s="64">
        <f>IF(B70=1,SUM($B$38:B69)+1,0)</f>
        <v>0</v>
      </c>
      <c r="B70" s="112">
        <f>IF(G70=0,0,1)</f>
        <v>0</v>
      </c>
      <c r="G70" s="668">
        <v>0</v>
      </c>
      <c r="I70" s="13">
        <v>0</v>
      </c>
      <c r="K70" s="8">
        <f>+L70*PostDoc</f>
        <v>0</v>
      </c>
      <c r="L70" s="1">
        <f t="shared" si="7"/>
        <v>0</v>
      </c>
      <c r="M70" s="14"/>
      <c r="N70" s="1">
        <f>IF(term&gt;1,ROUND(SUM((L70*(1+$G$14)),0),0))</f>
        <v>0</v>
      </c>
      <c r="O70" s="14"/>
      <c r="P70" s="1">
        <f>IF(term&gt;2,ROUND(SUM((N70*(1+$G$14))),0),0)</f>
        <v>0</v>
      </c>
      <c r="Q70" s="14"/>
      <c r="R70" s="1">
        <f>IF(term&gt;3,ROUND(SUM((P70*(1+$G$14))),0),0)</f>
        <v>0</v>
      </c>
      <c r="S70" s="14"/>
      <c r="T70" s="1">
        <f>IF(term&gt;4,ROUND(SUM((R70*(1+$G$14))),0),0)</f>
        <v>0</v>
      </c>
    </row>
    <row r="71" spans="1:20">
      <c r="A71" s="64">
        <f>IF(B71=1,SUM($B$38:B70)+1,0)</f>
        <v>0</v>
      </c>
      <c r="B71" s="112">
        <f>IF(G71=0,0,1)</f>
        <v>0</v>
      </c>
      <c r="G71" s="668">
        <v>0</v>
      </c>
      <c r="I71" s="13">
        <v>0</v>
      </c>
      <c r="K71" s="8">
        <f>+L71*PostDoc</f>
        <v>0</v>
      </c>
      <c r="L71" s="1">
        <f t="shared" si="7"/>
        <v>0</v>
      </c>
      <c r="M71" s="14"/>
      <c r="N71" s="1">
        <f>IF(term&gt;1,ROUND(SUM((L71*(1+$G$14)),0),0))</f>
        <v>0</v>
      </c>
      <c r="O71" s="14"/>
      <c r="P71" s="1">
        <f>IF(term&gt;2,ROUND(SUM((N71*(1+$G$14))),0),0)</f>
        <v>0</v>
      </c>
      <c r="Q71" s="14"/>
      <c r="R71" s="1">
        <f>IF(term&gt;3,ROUND(SUM((P71*(1+$G$14))),0),0)</f>
        <v>0</v>
      </c>
      <c r="S71" s="14"/>
      <c r="T71" s="1">
        <f>IF(term&gt;4,ROUND(SUM((R71*(1+$G$14))),0),0)</f>
        <v>0</v>
      </c>
    </row>
    <row r="72" spans="1:20">
      <c r="A72" s="64">
        <f>IF(B72=1,SUM($B$38:B71)+1,0)</f>
        <v>0</v>
      </c>
      <c r="B72" s="112">
        <f>IF(G72=0,0,1)</f>
        <v>0</v>
      </c>
      <c r="G72" s="669">
        <v>0</v>
      </c>
      <c r="I72" s="15">
        <v>0</v>
      </c>
      <c r="K72" s="8">
        <f>+L72*PostDoc</f>
        <v>0</v>
      </c>
      <c r="L72" s="2">
        <f t="shared" si="7"/>
        <v>0</v>
      </c>
      <c r="M72" s="14"/>
      <c r="N72" s="2">
        <f>IF(term&gt;1,ROUND(SUM((L72*(1+$G$14)),0),0))</f>
        <v>0</v>
      </c>
      <c r="O72" s="14"/>
      <c r="P72" s="2">
        <f>IF(term&gt;2,ROUND(SUM((N72*(1+$G$14))),0),0)</f>
        <v>0</v>
      </c>
      <c r="Q72" s="14"/>
      <c r="R72" s="2">
        <f>IF(term&gt;3,ROUND(SUM((P72*(1+$G$14))),0),0)</f>
        <v>0</v>
      </c>
      <c r="S72" s="14"/>
      <c r="T72" s="2">
        <f>IF(term&gt;4,ROUND(SUM((R72*(1+$G$14))),0),0)</f>
        <v>0</v>
      </c>
    </row>
    <row r="73" spans="1:20">
      <c r="C73" s="9" t="s">
        <v>7</v>
      </c>
      <c r="L73" s="36">
        <f>SUM(L68:L72)</f>
        <v>0</v>
      </c>
      <c r="M73" s="40"/>
      <c r="N73" s="36">
        <f>SUM(N68:N72)</f>
        <v>0</v>
      </c>
      <c r="O73" s="40"/>
      <c r="P73" s="36">
        <f>SUM(P68:P72)</f>
        <v>0</v>
      </c>
      <c r="Q73" s="40"/>
      <c r="R73" s="36">
        <f>SUM(R68:R72)</f>
        <v>0</v>
      </c>
      <c r="S73" s="40"/>
      <c r="T73" s="36">
        <f>SUM(T68:T72)</f>
        <v>0</v>
      </c>
    </row>
    <row r="75" spans="1:20" ht="18" customHeight="1">
      <c r="G75" s="664" t="s">
        <v>472</v>
      </c>
      <c r="H75" s="664"/>
      <c r="I75" s="664"/>
      <c r="J75" s="664"/>
      <c r="K75" s="664"/>
      <c r="L75" s="664"/>
      <c r="M75" s="665"/>
      <c r="N75" s="665"/>
      <c r="O75" s="665"/>
      <c r="P75" s="665"/>
      <c r="Q75" s="665"/>
      <c r="R75" s="665"/>
      <c r="S75" s="665"/>
      <c r="T75" s="665"/>
    </row>
    <row r="76" spans="1:20" ht="12.75" customHeight="1">
      <c r="C76" s="9" t="s">
        <v>39</v>
      </c>
      <c r="D76" s="9"/>
      <c r="E76" s="9"/>
      <c r="F76" s="9"/>
      <c r="G76" s="804"/>
      <c r="I76" s="17" t="s">
        <v>63</v>
      </c>
    </row>
    <row r="77" spans="1:20">
      <c r="C77" s="10" t="s">
        <v>1</v>
      </c>
      <c r="D77" s="803"/>
      <c r="E77" s="803"/>
      <c r="F77" s="803"/>
      <c r="G77" s="804"/>
      <c r="I77" s="31" t="s">
        <v>62</v>
      </c>
      <c r="L77" s="12" t="s">
        <v>2</v>
      </c>
      <c r="N77" s="12" t="s">
        <v>3</v>
      </c>
      <c r="P77" s="12" t="s">
        <v>4</v>
      </c>
      <c r="R77" s="12" t="s">
        <v>5</v>
      </c>
      <c r="T77" s="12" t="s">
        <v>6</v>
      </c>
    </row>
    <row r="78" spans="1:20">
      <c r="A78" s="64">
        <f>IF(B78=1,SUM($B$38:B77)+1,0)</f>
        <v>0</v>
      </c>
      <c r="B78" s="112">
        <f>IF(L78=0,0,1)</f>
        <v>0</v>
      </c>
      <c r="C78" s="667"/>
      <c r="D78" s="805"/>
      <c r="E78" s="805"/>
      <c r="F78" s="805"/>
      <c r="G78" s="805"/>
      <c r="I78" s="13">
        <v>0</v>
      </c>
      <c r="K78" s="8">
        <f>+L78*Grad</f>
        <v>0</v>
      </c>
      <c r="L78" s="149">
        <v>0</v>
      </c>
      <c r="M78" s="14"/>
      <c r="N78" s="1">
        <f>IF(term&gt;1,ROUND(SUM((L78*(1+$G$14))),0),0)</f>
        <v>0</v>
      </c>
      <c r="O78" s="14"/>
      <c r="P78" s="1">
        <f>IF(term&gt;2,ROUND(SUM((N78*(1+$G$14))),0),0)</f>
        <v>0</v>
      </c>
      <c r="Q78" s="14"/>
      <c r="R78" s="1">
        <f>IF(term&gt;3,ROUND(SUM((P78*(1+$G$14))),0),0)</f>
        <v>0</v>
      </c>
      <c r="S78" s="14"/>
      <c r="T78" s="1">
        <f>IF(term&gt;4,ROUND(SUM((R78*(1+$G$14))),0),0)</f>
        <v>0</v>
      </c>
    </row>
    <row r="79" spans="1:20">
      <c r="A79" s="64">
        <f>IF(B79=1,SUM($B$38:B78)+1,0)</f>
        <v>0</v>
      </c>
      <c r="B79" s="112">
        <f>IF(L79=0,0,1)</f>
        <v>0</v>
      </c>
      <c r="C79" s="667"/>
      <c r="D79" s="805"/>
      <c r="E79" s="805"/>
      <c r="F79" s="805"/>
      <c r="G79" s="805"/>
      <c r="I79" s="13">
        <v>0</v>
      </c>
      <c r="K79" s="8">
        <f>+L79*Grad</f>
        <v>0</v>
      </c>
      <c r="L79" s="149">
        <v>0</v>
      </c>
      <c r="M79" s="14"/>
      <c r="N79" s="1">
        <f>IF(term&gt;1,ROUND(SUM((L79*(1+$G$14))),0),0)</f>
        <v>0</v>
      </c>
      <c r="O79" s="14"/>
      <c r="P79" s="1">
        <f>IF(term&gt;2,ROUND(SUM((N79*(1+$G$14))),0),0)</f>
        <v>0</v>
      </c>
      <c r="Q79" s="14"/>
      <c r="R79" s="1">
        <f>IF(term&gt;3,ROUND(SUM((P79*(1+$G$14))),0),0)</f>
        <v>0</v>
      </c>
      <c r="S79" s="14"/>
      <c r="T79" s="1">
        <f>IF(term&gt;4,ROUND(SUM((R79*(1+$G$14))),0),0)</f>
        <v>0</v>
      </c>
    </row>
    <row r="80" spans="1:20">
      <c r="A80" s="64">
        <f>IF(B80=1,SUM($B$38:B79)+1,0)</f>
        <v>0</v>
      </c>
      <c r="B80" s="112">
        <f>IF(L80=0,0,1)</f>
        <v>0</v>
      </c>
      <c r="C80" s="667"/>
      <c r="D80" s="805"/>
      <c r="E80" s="805"/>
      <c r="F80" s="805"/>
      <c r="G80" s="805"/>
      <c r="I80" s="13">
        <v>0</v>
      </c>
      <c r="K80" s="8">
        <f>+L80*Grad</f>
        <v>0</v>
      </c>
      <c r="L80" s="149">
        <v>0</v>
      </c>
      <c r="M80" s="14"/>
      <c r="N80" s="1">
        <f>IF(term&gt;1,ROUND(SUM((L80*(1+$G$14))),0),0)</f>
        <v>0</v>
      </c>
      <c r="O80" s="14"/>
      <c r="P80" s="1">
        <f>IF(term&gt;2,ROUND(SUM((N80*(1+$G$14))),0),0)</f>
        <v>0</v>
      </c>
      <c r="Q80" s="14"/>
      <c r="R80" s="1">
        <f>IF(term&gt;3,ROUND(SUM((P80*(1+$G$14))),0),0)</f>
        <v>0</v>
      </c>
      <c r="S80" s="14"/>
      <c r="T80" s="1">
        <f>IF(term&gt;4,ROUND(SUM((R80*(1+$G$14))),0),0)</f>
        <v>0</v>
      </c>
    </row>
    <row r="81" spans="1:20">
      <c r="A81" s="64">
        <f>IF(B81=1,SUM($B$38:B80)+1,0)</f>
        <v>0</v>
      </c>
      <c r="B81" s="112">
        <f>IF(L81=0,0,1)</f>
        <v>0</v>
      </c>
      <c r="C81" s="667"/>
      <c r="D81" s="805"/>
      <c r="E81" s="805"/>
      <c r="F81" s="805"/>
      <c r="G81" s="805"/>
      <c r="I81" s="13">
        <v>0</v>
      </c>
      <c r="K81" s="8">
        <f>+L81*Grad</f>
        <v>0</v>
      </c>
      <c r="L81" s="149">
        <v>0</v>
      </c>
      <c r="M81" s="14"/>
      <c r="N81" s="1">
        <f>IF(term&gt;1,ROUND(SUM((L81*(1+$G$14))),0),0)</f>
        <v>0</v>
      </c>
      <c r="O81" s="14"/>
      <c r="P81" s="1">
        <f>IF(term&gt;2,ROUND(SUM((N81*(1+$G$14))),0),0)</f>
        <v>0</v>
      </c>
      <c r="Q81" s="14"/>
      <c r="R81" s="1">
        <f>IF(term&gt;3,ROUND(SUM((P81*(1+$G$14))),0),0)</f>
        <v>0</v>
      </c>
      <c r="S81" s="14"/>
      <c r="T81" s="1">
        <f>IF(term&gt;4,ROUND(SUM((R81*(1+$G$14))),0),0)</f>
        <v>0</v>
      </c>
    </row>
    <row r="82" spans="1:20">
      <c r="A82" s="64">
        <f>IF(B82=1,SUM($B$38:B81)+1,0)</f>
        <v>0</v>
      </c>
      <c r="B82" s="112">
        <f>IF(L82=0,0,1)</f>
        <v>0</v>
      </c>
      <c r="C82" s="667"/>
      <c r="D82" s="805"/>
      <c r="E82" s="805"/>
      <c r="F82" s="805"/>
      <c r="G82" s="805"/>
      <c r="I82" s="15">
        <v>0</v>
      </c>
      <c r="K82" s="8">
        <f>+L82*Grad</f>
        <v>0</v>
      </c>
      <c r="L82" s="150">
        <v>0</v>
      </c>
      <c r="M82" s="14"/>
      <c r="N82" s="2">
        <f>IF(term&gt;1,ROUND(SUM((L82*(1+$G$14))),0),0)</f>
        <v>0</v>
      </c>
      <c r="O82" s="14"/>
      <c r="P82" s="2">
        <f>IF(term&gt;2,ROUND(SUM((N82*(1+$G$14))),0),0)</f>
        <v>0</v>
      </c>
      <c r="Q82" s="14"/>
      <c r="R82" s="2">
        <f>IF(term&gt;3,ROUND(SUM((P82*(1+$G$14))),0),0)</f>
        <v>0</v>
      </c>
      <c r="S82" s="14"/>
      <c r="T82" s="2">
        <f>IF(term&gt;4,ROUND(SUM((R82*(1+$G$14))),0),0)</f>
        <v>0</v>
      </c>
    </row>
    <row r="83" spans="1:20">
      <c r="C83" s="9" t="s">
        <v>7</v>
      </c>
      <c r="D83" s="803"/>
      <c r="E83" s="803"/>
      <c r="F83" s="803"/>
      <c r="G83" s="803"/>
      <c r="L83" s="36">
        <f>SUM(L78:L82)</f>
        <v>0</v>
      </c>
      <c r="M83" s="40"/>
      <c r="N83" s="36">
        <f>SUM(N78:N82)</f>
        <v>0</v>
      </c>
      <c r="O83" s="40"/>
      <c r="P83" s="36">
        <f>SUM(P78:P82)</f>
        <v>0</v>
      </c>
      <c r="Q83" s="40"/>
      <c r="R83" s="36">
        <f>SUM(R78:R82)</f>
        <v>0</v>
      </c>
      <c r="S83" s="40"/>
      <c r="T83" s="36">
        <f>SUM(T78:T82)</f>
        <v>0</v>
      </c>
    </row>
    <row r="84" spans="1:20">
      <c r="D84" s="803"/>
      <c r="E84" s="803"/>
      <c r="F84" s="803"/>
      <c r="G84" s="802"/>
      <c r="L84" s="32">
        <f>COUNTIF(L78:L82,"&gt;0")</f>
        <v>0</v>
      </c>
      <c r="M84" s="33"/>
      <c r="N84" s="32">
        <f>COUNTIF(N78:N82,"&gt;0")</f>
        <v>0</v>
      </c>
      <c r="O84" s="33"/>
      <c r="P84" s="32">
        <f>COUNTIF(P78:P82,"&gt;0")</f>
        <v>0</v>
      </c>
      <c r="Q84" s="33"/>
      <c r="R84" s="32">
        <f>COUNTIF(R78:R82,"&gt;0")</f>
        <v>0</v>
      </c>
      <c r="S84" s="33"/>
      <c r="T84" s="32">
        <f>COUNTIF(T78:T82,"&gt;0")</f>
        <v>0</v>
      </c>
    </row>
    <row r="85" spans="1:20">
      <c r="D85" s="803"/>
      <c r="E85" s="803"/>
      <c r="F85" s="803"/>
      <c r="G85" s="803"/>
    </row>
    <row r="86" spans="1:20">
      <c r="C86" s="9" t="s">
        <v>45</v>
      </c>
    </row>
    <row r="87" spans="1:20">
      <c r="C87" s="10" t="s">
        <v>1</v>
      </c>
      <c r="G87" s="10" t="s">
        <v>46</v>
      </c>
      <c r="H87" s="11"/>
      <c r="I87" s="10" t="s">
        <v>47</v>
      </c>
      <c r="L87" s="12" t="s">
        <v>2</v>
      </c>
      <c r="N87" s="12" t="s">
        <v>3</v>
      </c>
      <c r="P87" s="12" t="s">
        <v>4</v>
      </c>
      <c r="R87" s="12" t="s">
        <v>5</v>
      </c>
      <c r="T87" s="12" t="s">
        <v>6</v>
      </c>
    </row>
    <row r="88" spans="1:20">
      <c r="G88" s="25">
        <v>0</v>
      </c>
      <c r="I88" s="13">
        <v>0</v>
      </c>
      <c r="K88" s="8">
        <v>0</v>
      </c>
      <c r="L88" s="149">
        <f>ROUND(G88*I88,0)</f>
        <v>0</v>
      </c>
      <c r="M88" s="14"/>
      <c r="N88" s="1">
        <f>IF(term&gt;1,ROUND(SUM(L88+(L88*$G$14)),0),0)</f>
        <v>0</v>
      </c>
      <c r="O88" s="14"/>
      <c r="P88" s="1">
        <f>IF(term&gt;2,ROUND(SUM(N88+(N88*$G$14)),0),0)</f>
        <v>0</v>
      </c>
      <c r="Q88" s="14"/>
      <c r="R88" s="1">
        <f>IF(term&gt;3,ROUND(SUM(P88+(P88*$G$14)),0),0)</f>
        <v>0</v>
      </c>
      <c r="S88" s="14"/>
      <c r="T88" s="1">
        <f>IF(term&gt;4,ROUND(SUM(R88+(R88*$G$14)),0),0)</f>
        <v>0</v>
      </c>
    </row>
    <row r="89" spans="1:20">
      <c r="G89" s="25">
        <v>0</v>
      </c>
      <c r="I89" s="13">
        <v>0</v>
      </c>
      <c r="K89" s="8">
        <v>0</v>
      </c>
      <c r="L89" s="149">
        <f t="shared" ref="L89:L92" si="8">ROUND(G89*I89,0)</f>
        <v>0</v>
      </c>
      <c r="M89" s="14"/>
      <c r="N89" s="1">
        <f>IF(term&gt;1,ROUND(SUM(L89+(L89*$G$14)),0),0)</f>
        <v>0</v>
      </c>
      <c r="O89" s="14"/>
      <c r="P89" s="1">
        <f>IF(term&gt;2,ROUND(SUM(N89+(N89*$G$14)),0),0)</f>
        <v>0</v>
      </c>
      <c r="Q89" s="14"/>
      <c r="R89" s="1">
        <f>IF(term&gt;3,ROUND(SUM(P89+(P89*$G$14)),0),0)</f>
        <v>0</v>
      </c>
      <c r="S89" s="14"/>
      <c r="T89" s="1">
        <f>IF(term&gt;4,ROUND(SUM(R89+(R89*$G$14)),0),0)</f>
        <v>0</v>
      </c>
    </row>
    <row r="90" spans="1:20">
      <c r="G90" s="25">
        <v>0</v>
      </c>
      <c r="I90" s="13">
        <v>0</v>
      </c>
      <c r="K90" s="8">
        <v>0</v>
      </c>
      <c r="L90" s="149">
        <f t="shared" si="8"/>
        <v>0</v>
      </c>
      <c r="M90" s="14"/>
      <c r="N90" s="1">
        <f>IF(term&gt;1,ROUND(SUM(L90+(L90*$G$14)),0),0)</f>
        <v>0</v>
      </c>
      <c r="O90" s="14"/>
      <c r="P90" s="1">
        <f>IF(term&gt;2,ROUND(SUM(N90+(N90*$G$14)),0),0)</f>
        <v>0</v>
      </c>
      <c r="Q90" s="14"/>
      <c r="R90" s="1">
        <f>IF(term&gt;3,ROUND(SUM(P90+(P90*$G$14)),0),0)</f>
        <v>0</v>
      </c>
      <c r="S90" s="14"/>
      <c r="T90" s="1">
        <f>IF(term&gt;4,ROUND(SUM(R90+(R90*$G$14)),0),0)</f>
        <v>0</v>
      </c>
    </row>
    <row r="91" spans="1:20">
      <c r="G91" s="25">
        <v>0</v>
      </c>
      <c r="I91" s="13">
        <v>0</v>
      </c>
      <c r="K91" s="8">
        <v>0</v>
      </c>
      <c r="L91" s="149">
        <f t="shared" si="8"/>
        <v>0</v>
      </c>
      <c r="M91" s="14"/>
      <c r="N91" s="1">
        <f>IF(term&gt;1,ROUND(SUM(L91+(L91*$G$14)),0),0)</f>
        <v>0</v>
      </c>
      <c r="O91" s="14"/>
      <c r="P91" s="1">
        <f>IF(term&gt;2,ROUND(SUM(N91+(N91*$G$14)),0),0)</f>
        <v>0</v>
      </c>
      <c r="Q91" s="14"/>
      <c r="R91" s="1">
        <f>IF(term&gt;3,ROUND(SUM(P91+(P91*$G$14)),0),0)</f>
        <v>0</v>
      </c>
      <c r="S91" s="14"/>
      <c r="T91" s="1">
        <f>IF(term&gt;4,ROUND(SUM(R91+(R91*$G$14)),0),0)</f>
        <v>0</v>
      </c>
    </row>
    <row r="92" spans="1:20">
      <c r="G92" s="26">
        <v>0</v>
      </c>
      <c r="I92" s="15">
        <v>0</v>
      </c>
      <c r="K92" s="8">
        <v>0</v>
      </c>
      <c r="L92" s="150">
        <f t="shared" si="8"/>
        <v>0</v>
      </c>
      <c r="M92" s="14"/>
      <c r="N92" s="2">
        <f>IF(term&gt;1,ROUND(SUM(L92+(L92*$G$14)),0),0)</f>
        <v>0</v>
      </c>
      <c r="O92" s="14"/>
      <c r="P92" s="2">
        <f>IF(term&gt;2,ROUND(SUM(N92+(N92*$G$14)),0),0)</f>
        <v>0</v>
      </c>
      <c r="Q92" s="14"/>
      <c r="R92" s="2">
        <f>IF(term&gt;3,ROUND(SUM(P92+(P92*$G$14)),0),0)</f>
        <v>0</v>
      </c>
      <c r="S92" s="14"/>
      <c r="T92" s="2">
        <f>IF(term&gt;4,ROUND(SUM(R92+(R92*$G$14)),0),0)</f>
        <v>0</v>
      </c>
    </row>
    <row r="93" spans="1:20">
      <c r="A93" s="64">
        <f>IF(B93=1,SUM($B$38:B92)+1,0)</f>
        <v>0</v>
      </c>
      <c r="B93" s="112">
        <f>IF(L93=0,0,1)</f>
        <v>0</v>
      </c>
      <c r="C93" s="114" t="s">
        <v>45</v>
      </c>
      <c r="G93" s="7"/>
      <c r="L93" s="151">
        <f t="shared" ref="L93:T93" si="9">SUM(L88:L92)</f>
        <v>0</v>
      </c>
      <c r="M93" s="36"/>
      <c r="N93" s="36">
        <f t="shared" si="9"/>
        <v>0</v>
      </c>
      <c r="O93" s="36"/>
      <c r="P93" s="36">
        <f t="shared" si="9"/>
        <v>0</v>
      </c>
      <c r="Q93" s="36"/>
      <c r="R93" s="36">
        <f t="shared" si="9"/>
        <v>0</v>
      </c>
      <c r="S93" s="36"/>
      <c r="T93" s="36">
        <f t="shared" si="9"/>
        <v>0</v>
      </c>
    </row>
    <row r="94" spans="1:20">
      <c r="L94" s="14"/>
    </row>
    <row r="95" spans="1:20">
      <c r="C95" s="7" t="s">
        <v>8</v>
      </c>
      <c r="L95" s="36">
        <f>SUM(L44+L53+L93+L83+L73+L63)</f>
        <v>0</v>
      </c>
      <c r="M95" s="40"/>
      <c r="N95" s="36">
        <f>SUM(N44+N53+N93+N83+N73+N63)</f>
        <v>0</v>
      </c>
      <c r="O95" s="40"/>
      <c r="P95" s="36">
        <f>SUM(P44+P53+P93+P83+P73+P63)</f>
        <v>0</v>
      </c>
      <c r="Q95" s="40"/>
      <c r="R95" s="36">
        <f>SUM(R44+R53+R93+R83+R73+R63)</f>
        <v>0</v>
      </c>
      <c r="S95" s="40"/>
      <c r="T95" s="36">
        <f>SUM(T44+T53+T93+T83+T73+T63)</f>
        <v>0</v>
      </c>
    </row>
    <row r="96" spans="1:20">
      <c r="C96" s="7"/>
      <c r="L96" s="4"/>
      <c r="M96" s="7"/>
      <c r="N96" s="4"/>
      <c r="O96" s="7"/>
      <c r="P96" s="4"/>
      <c r="Q96" s="7"/>
      <c r="R96" s="4"/>
      <c r="S96" s="7"/>
      <c r="T96" s="4"/>
    </row>
    <row r="97" spans="3:22">
      <c r="C97" s="8" t="s">
        <v>36</v>
      </c>
      <c r="L97" s="34">
        <f>ROUND(+L44*Faculty,0)</f>
        <v>0</v>
      </c>
      <c r="M97" s="34"/>
      <c r="N97" s="34">
        <f>ROUND(+N44*Faculty,0)</f>
        <v>0</v>
      </c>
      <c r="O97" s="34"/>
      <c r="P97" s="34">
        <f>ROUND(+P44*Faculty,0)</f>
        <v>0</v>
      </c>
      <c r="Q97" s="34"/>
      <c r="R97" s="34">
        <f>ROUND(+R44*Faculty,0)</f>
        <v>0</v>
      </c>
      <c r="S97" s="34"/>
      <c r="T97" s="34">
        <f>ROUND(+T44*Faculty,0)</f>
        <v>0</v>
      </c>
    </row>
    <row r="98" spans="3:22">
      <c r="C98" s="8" t="s">
        <v>48</v>
      </c>
      <c r="L98" s="34">
        <f>ROUND(+L53*Professional,0)</f>
        <v>0</v>
      </c>
      <c r="M98" s="34"/>
      <c r="N98" s="34">
        <f t="shared" ref="N98:T98" si="10">ROUND(+N53*Professional,0)</f>
        <v>0</v>
      </c>
      <c r="O98" s="34"/>
      <c r="P98" s="34">
        <f t="shared" si="10"/>
        <v>0</v>
      </c>
      <c r="Q98" s="34"/>
      <c r="R98" s="34">
        <f t="shared" si="10"/>
        <v>0</v>
      </c>
      <c r="S98" s="34"/>
      <c r="T98" s="34">
        <f t="shared" si="10"/>
        <v>0</v>
      </c>
    </row>
    <row r="99" spans="3:22">
      <c r="C99" s="8" t="s">
        <v>38</v>
      </c>
      <c r="L99" s="34">
        <f>ROUND(+L63*Merit,0)</f>
        <v>0</v>
      </c>
      <c r="M99" s="34"/>
      <c r="N99" s="34">
        <f t="shared" ref="N99:T99" si="11">ROUND(+N63*Merit,0)</f>
        <v>0</v>
      </c>
      <c r="O99" s="34"/>
      <c r="P99" s="34">
        <f t="shared" si="11"/>
        <v>0</v>
      </c>
      <c r="Q99" s="34"/>
      <c r="R99" s="34">
        <f t="shared" si="11"/>
        <v>0</v>
      </c>
      <c r="S99" s="34"/>
      <c r="T99" s="34">
        <f t="shared" si="11"/>
        <v>0</v>
      </c>
    </row>
    <row r="100" spans="3:22">
      <c r="C100" s="8" t="s">
        <v>49</v>
      </c>
      <c r="L100" s="34">
        <f>ROUND(+L73*PostDoc,0)</f>
        <v>0</v>
      </c>
      <c r="M100" s="34"/>
      <c r="N100" s="34">
        <f t="shared" ref="N100:T100" si="12">ROUND(+N73*PostDoc,0)</f>
        <v>0</v>
      </c>
      <c r="O100" s="34"/>
      <c r="P100" s="34">
        <f t="shared" si="12"/>
        <v>0</v>
      </c>
      <c r="Q100" s="34"/>
      <c r="R100" s="34">
        <f t="shared" si="12"/>
        <v>0</v>
      </c>
      <c r="S100" s="34"/>
      <c r="T100" s="34">
        <f t="shared" si="12"/>
        <v>0</v>
      </c>
    </row>
    <row r="101" spans="3:22">
      <c r="C101" s="8" t="s">
        <v>50</v>
      </c>
      <c r="L101" s="178">
        <f>ROUND(+L83*Grad,0)</f>
        <v>0</v>
      </c>
      <c r="M101" s="178"/>
      <c r="N101" s="178">
        <f>ROUND(+N83*Grad,0)</f>
        <v>0</v>
      </c>
      <c r="O101" s="178"/>
      <c r="P101" s="178">
        <f>ROUND(+P83*Grad,0)</f>
        <v>0</v>
      </c>
      <c r="Q101" s="178"/>
      <c r="R101" s="178">
        <f>ROUND(+R83*Grad,0)</f>
        <v>0</v>
      </c>
      <c r="S101" s="178"/>
      <c r="T101" s="178">
        <f>ROUND(+T83*Grad,0)</f>
        <v>0</v>
      </c>
    </row>
    <row r="102" spans="3:22">
      <c r="C102" s="8" t="s">
        <v>164</v>
      </c>
      <c r="L102" s="35">
        <f>ROUND(+L93*ug,0)</f>
        <v>0</v>
      </c>
      <c r="M102" s="34"/>
      <c r="N102" s="35">
        <f>ROUND(+N93*ug,0)</f>
        <v>0</v>
      </c>
      <c r="O102" s="34"/>
      <c r="P102" s="35">
        <f>ROUND(+P93*ug,0)</f>
        <v>0</v>
      </c>
      <c r="Q102" s="34"/>
      <c r="R102" s="35">
        <f>ROUND(+R93*ug,0)</f>
        <v>0</v>
      </c>
      <c r="S102" s="34"/>
      <c r="T102" s="35">
        <f>ROUND(+T93*ug,0)</f>
        <v>0</v>
      </c>
    </row>
    <row r="103" spans="3:22">
      <c r="C103" s="7" t="s">
        <v>10</v>
      </c>
      <c r="L103" s="36">
        <f>SUM(L97:L102)</f>
        <v>0</v>
      </c>
      <c r="M103" s="22"/>
      <c r="N103" s="36">
        <f>SUM(N97:N102)</f>
        <v>0</v>
      </c>
      <c r="O103" s="22"/>
      <c r="P103" s="36">
        <f>SUM(P97:P102)</f>
        <v>0</v>
      </c>
      <c r="Q103" s="22"/>
      <c r="R103" s="36">
        <f>SUM(R97:R102)</f>
        <v>0</v>
      </c>
      <c r="S103" s="22"/>
      <c r="T103" s="36">
        <f>SUM(T97:T102)</f>
        <v>0</v>
      </c>
    </row>
    <row r="104" spans="3:22">
      <c r="C104" s="7"/>
      <c r="L104" s="178"/>
      <c r="M104" s="22"/>
      <c r="N104" s="49"/>
      <c r="O104" s="22"/>
      <c r="P104" s="49"/>
      <c r="Q104" s="22"/>
      <c r="R104" s="49"/>
      <c r="S104" s="22"/>
      <c r="T104" s="49"/>
    </row>
    <row r="105" spans="3:22">
      <c r="C105" s="9" t="s">
        <v>9</v>
      </c>
      <c r="L105" s="36">
        <f>L95+L103</f>
        <v>0</v>
      </c>
      <c r="M105" s="22"/>
      <c r="N105" s="36">
        <f>N95+N103</f>
        <v>0</v>
      </c>
      <c r="O105" s="22"/>
      <c r="P105" s="36">
        <f>P95+P103</f>
        <v>0</v>
      </c>
      <c r="Q105" s="22"/>
      <c r="R105" s="36">
        <f>R95+R103</f>
        <v>0</v>
      </c>
      <c r="S105" s="22"/>
      <c r="T105" s="36">
        <f>T95+T103</f>
        <v>0</v>
      </c>
    </row>
    <row r="108" spans="3:22">
      <c r="C108" s="779" t="s">
        <v>12</v>
      </c>
      <c r="D108" s="780"/>
      <c r="E108" s="22"/>
      <c r="F108" s="22"/>
      <c r="G108" s="780"/>
      <c r="H108" s="780"/>
      <c r="I108" s="780"/>
      <c r="J108" s="780"/>
      <c r="K108" s="780"/>
      <c r="L108" s="780"/>
      <c r="M108" s="780"/>
      <c r="N108" s="780"/>
      <c r="O108" s="780"/>
      <c r="P108" s="780"/>
      <c r="Q108" s="780"/>
      <c r="R108" s="780"/>
      <c r="S108" s="780"/>
      <c r="T108" s="780"/>
      <c r="U108" s="780"/>
      <c r="V108" s="780"/>
    </row>
    <row r="109" spans="3:22">
      <c r="C109" s="781" t="s">
        <v>13</v>
      </c>
      <c r="D109" s="53"/>
      <c r="E109" s="22"/>
      <c r="F109" s="22"/>
      <c r="G109" s="53"/>
      <c r="H109" s="53"/>
      <c r="I109" s="53"/>
      <c r="J109" s="53"/>
      <c r="K109" s="53"/>
      <c r="L109" s="53"/>
      <c r="M109" s="53"/>
      <c r="N109" s="53"/>
      <c r="O109" s="53"/>
      <c r="P109" s="53"/>
      <c r="Q109" s="53"/>
      <c r="R109" s="53"/>
      <c r="S109" s="53"/>
      <c r="T109" s="53"/>
      <c r="U109" s="53"/>
      <c r="V109" s="53"/>
    </row>
    <row r="110" spans="3:22">
      <c r="L110" s="14">
        <v>0</v>
      </c>
      <c r="N110" s="1">
        <f>IF(term&gt;1,ROUND(SUM(L110+(L110*$G$13)),0),0)</f>
        <v>0</v>
      </c>
      <c r="P110" s="1">
        <f>IF(term&gt;2,ROUND(SUM(N110+(N110*$G$13)),0),0)</f>
        <v>0</v>
      </c>
      <c r="R110" s="1">
        <f>IF(term&gt;3,ROUND(SUM(P110+(P110*$G$13)),0),0)</f>
        <v>0</v>
      </c>
      <c r="T110" s="1">
        <f>IF(term&gt;4,ROUND(SUM(R110+(R110*$G$13)),0),0)</f>
        <v>0</v>
      </c>
    </row>
    <row r="111" spans="3:22">
      <c r="L111" s="14">
        <v>0</v>
      </c>
      <c r="N111" s="1">
        <f>IF(term&gt;1,ROUND(SUM(L111+(L111*$G$13)),0),0)</f>
        <v>0</v>
      </c>
      <c r="P111" s="1">
        <f>IF(term&gt;2,ROUND(SUM(N111+(N111*$G$13)),0),0)</f>
        <v>0</v>
      </c>
      <c r="R111" s="1">
        <f>IF(term&gt;3,ROUND(SUM(P111+(P111*$G$13)),0),0)</f>
        <v>0</v>
      </c>
      <c r="T111" s="1">
        <f>IF(term&gt;4,ROUND(SUM(R111+(R111*$G$13)),0),0)</f>
        <v>0</v>
      </c>
    </row>
    <row r="112" spans="3:22">
      <c r="L112" s="18">
        <v>0</v>
      </c>
      <c r="N112" s="2">
        <f>IF(term&gt;1,ROUND(SUM(L112+(L112*$G$13)),0),0)</f>
        <v>0</v>
      </c>
      <c r="P112" s="2">
        <f>IF(term&gt;2,ROUND(SUM(N112+(N112*$G$13)),0),0)</f>
        <v>0</v>
      </c>
      <c r="R112" s="2">
        <f>IF(term&gt;3,ROUND(SUM(P112+(P112*$G$13)),0),0)</f>
        <v>0</v>
      </c>
      <c r="T112" s="2">
        <f>IF(term&gt;4,ROUND(SUM(R112+(R112*$G$13)),0),0)</f>
        <v>0</v>
      </c>
    </row>
    <row r="113" spans="3:22">
      <c r="C113" s="9" t="s">
        <v>7</v>
      </c>
      <c r="L113" s="36">
        <f>SUM(L110:L112)</f>
        <v>0</v>
      </c>
      <c r="M113" s="22"/>
      <c r="N113" s="36">
        <f>SUM(N110:N112)</f>
        <v>0</v>
      </c>
      <c r="O113" s="22"/>
      <c r="P113" s="36">
        <f>SUM(P110:P112)</f>
        <v>0</v>
      </c>
      <c r="Q113" s="22"/>
      <c r="R113" s="36">
        <f>SUM(R110:R112)</f>
        <v>0</v>
      </c>
      <c r="S113" s="22"/>
      <c r="T113" s="36">
        <f>SUM(T110:T112)</f>
        <v>0</v>
      </c>
    </row>
    <row r="114" spans="3:22">
      <c r="C114" s="8" t="s">
        <v>14</v>
      </c>
      <c r="L114" s="14"/>
    </row>
    <row r="115" spans="3:22">
      <c r="L115" s="14"/>
    </row>
    <row r="116" spans="3:22">
      <c r="C116" s="779" t="s">
        <v>15</v>
      </c>
      <c r="D116" s="780"/>
      <c r="E116" s="22"/>
      <c r="F116" s="22"/>
      <c r="G116" s="780"/>
      <c r="H116" s="780"/>
      <c r="I116" s="780"/>
      <c r="J116" s="780"/>
      <c r="K116" s="780"/>
      <c r="L116" s="782"/>
      <c r="M116" s="780"/>
      <c r="N116" s="780"/>
      <c r="O116" s="780"/>
      <c r="P116" s="780"/>
      <c r="Q116" s="780"/>
      <c r="R116" s="780"/>
      <c r="S116" s="780"/>
      <c r="T116" s="780"/>
      <c r="U116" s="780"/>
      <c r="V116" s="780"/>
    </row>
    <row r="117" spans="3:22">
      <c r="C117" s="781" t="s">
        <v>16</v>
      </c>
      <c r="D117" s="53"/>
      <c r="E117" s="22"/>
      <c r="F117" s="22"/>
      <c r="G117" s="53"/>
      <c r="H117" s="53"/>
      <c r="I117" s="53"/>
      <c r="J117" s="53"/>
      <c r="K117" s="53"/>
      <c r="L117" s="35"/>
      <c r="M117" s="53"/>
      <c r="N117" s="53"/>
      <c r="O117" s="53"/>
      <c r="P117" s="53"/>
      <c r="Q117" s="53"/>
      <c r="R117" s="53"/>
      <c r="S117" s="53"/>
      <c r="T117" s="53"/>
      <c r="U117" s="53"/>
      <c r="V117" s="53"/>
    </row>
    <row r="118" spans="3:22">
      <c r="C118" s="56"/>
      <c r="L118" s="14">
        <v>0</v>
      </c>
      <c r="N118" s="8">
        <v>0</v>
      </c>
      <c r="O118" s="8" t="s">
        <v>14</v>
      </c>
      <c r="P118" s="8">
        <v>0</v>
      </c>
      <c r="Q118" s="8" t="s">
        <v>14</v>
      </c>
      <c r="R118" s="8">
        <v>0</v>
      </c>
      <c r="T118" s="8">
        <v>0</v>
      </c>
    </row>
    <row r="119" spans="3:22">
      <c r="L119" s="14">
        <v>0</v>
      </c>
      <c r="N119" s="8">
        <v>0</v>
      </c>
      <c r="P119" s="8">
        <v>0</v>
      </c>
      <c r="R119" s="8">
        <v>0</v>
      </c>
      <c r="T119" s="8">
        <v>0</v>
      </c>
    </row>
    <row r="120" spans="3:22">
      <c r="L120" s="14">
        <v>0</v>
      </c>
      <c r="N120" s="8">
        <v>0</v>
      </c>
      <c r="P120" s="8">
        <v>0</v>
      </c>
      <c r="R120" s="8">
        <v>0</v>
      </c>
      <c r="T120" s="8">
        <v>0</v>
      </c>
    </row>
    <row r="121" spans="3:22">
      <c r="L121" s="18">
        <v>0</v>
      </c>
      <c r="N121" s="16">
        <v>0</v>
      </c>
      <c r="P121" s="16">
        <v>0</v>
      </c>
      <c r="R121" s="16">
        <v>0</v>
      </c>
      <c r="T121" s="16">
        <v>0</v>
      </c>
    </row>
    <row r="122" spans="3:22">
      <c r="C122" s="9" t="s">
        <v>7</v>
      </c>
      <c r="L122" s="36">
        <f>SUM(L118:L121)</f>
        <v>0</v>
      </c>
      <c r="M122" s="22"/>
      <c r="N122" s="40">
        <f>SUM(N118:N121)</f>
        <v>0</v>
      </c>
      <c r="O122" s="22"/>
      <c r="P122" s="40">
        <f>SUM(P118:P121)</f>
        <v>0</v>
      </c>
      <c r="Q122" s="22"/>
      <c r="R122" s="40">
        <f>SUM(R118:R121)</f>
        <v>0</v>
      </c>
      <c r="S122" s="22"/>
      <c r="T122" s="40">
        <f>SUM(T118:T121)</f>
        <v>0</v>
      </c>
    </row>
    <row r="123" spans="3:22">
      <c r="L123" s="14"/>
    </row>
    <row r="124" spans="3:22">
      <c r="L124" s="14"/>
    </row>
    <row r="125" spans="3:22">
      <c r="C125" s="779" t="s">
        <v>17</v>
      </c>
      <c r="D125" s="780"/>
      <c r="E125" s="22"/>
      <c r="F125" s="22"/>
      <c r="G125" s="780"/>
      <c r="H125" s="780"/>
      <c r="I125" s="780"/>
      <c r="J125" s="780"/>
      <c r="K125" s="780"/>
      <c r="L125" s="782"/>
      <c r="M125" s="780"/>
      <c r="N125" s="780"/>
      <c r="O125" s="780"/>
      <c r="P125" s="780"/>
      <c r="Q125" s="780"/>
      <c r="R125" s="780"/>
      <c r="S125" s="780"/>
      <c r="T125" s="780"/>
      <c r="U125" s="780"/>
      <c r="V125" s="780"/>
    </row>
    <row r="126" spans="3:22">
      <c r="C126" s="781" t="s">
        <v>16</v>
      </c>
      <c r="D126" s="53"/>
      <c r="E126" s="22"/>
      <c r="F126" s="22"/>
      <c r="G126" s="53"/>
      <c r="H126" s="53"/>
      <c r="I126" s="53"/>
      <c r="J126" s="53"/>
      <c r="K126" s="53"/>
      <c r="L126" s="35"/>
      <c r="M126" s="53"/>
      <c r="N126" s="53"/>
      <c r="O126" s="53"/>
      <c r="P126" s="53"/>
      <c r="Q126" s="53"/>
      <c r="R126" s="53"/>
      <c r="S126" s="53"/>
      <c r="T126" s="53"/>
      <c r="U126" s="53"/>
      <c r="V126" s="53"/>
    </row>
    <row r="127" spans="3:22">
      <c r="L127" s="14">
        <v>0</v>
      </c>
      <c r="N127" s="1">
        <f>IF(term&gt;1,ROUND(SUM(L127+(L127*$G$13)),0),0)</f>
        <v>0</v>
      </c>
      <c r="P127" s="1">
        <f t="shared" ref="P127:P138" si="13">IF(term&gt;2,ROUND(SUM(N127+(N127*$G$13)),0),0)</f>
        <v>0</v>
      </c>
      <c r="R127" s="1">
        <f t="shared" ref="R127:R138" si="14">IF(term&gt;3,ROUND(SUM(P127+(P127*$G$13)),0),0)</f>
        <v>0</v>
      </c>
      <c r="T127" s="1">
        <f t="shared" ref="T127:T138" si="15">IF(term&gt;4,ROUND(SUM(R127+(R127*$G$13)),0),0)</f>
        <v>0</v>
      </c>
    </row>
    <row r="128" spans="3:22">
      <c r="L128" s="14">
        <v>0</v>
      </c>
      <c r="N128" s="1">
        <f t="shared" ref="N128:N138" si="16">IF(term&gt;1,ROUND(SUM(L128+(L128*$G$13)),0),0)</f>
        <v>0</v>
      </c>
      <c r="P128" s="1">
        <f t="shared" si="13"/>
        <v>0</v>
      </c>
      <c r="R128" s="1">
        <f t="shared" si="14"/>
        <v>0</v>
      </c>
      <c r="T128" s="1">
        <f t="shared" si="15"/>
        <v>0</v>
      </c>
    </row>
    <row r="129" spans="3:22">
      <c r="L129" s="14">
        <v>0</v>
      </c>
      <c r="N129" s="1">
        <f t="shared" si="16"/>
        <v>0</v>
      </c>
      <c r="P129" s="1">
        <f t="shared" si="13"/>
        <v>0</v>
      </c>
      <c r="R129" s="1">
        <f t="shared" si="14"/>
        <v>0</v>
      </c>
      <c r="T129" s="1">
        <f t="shared" si="15"/>
        <v>0</v>
      </c>
    </row>
    <row r="130" spans="3:22">
      <c r="L130" s="14">
        <v>0</v>
      </c>
      <c r="N130" s="1">
        <f t="shared" si="16"/>
        <v>0</v>
      </c>
      <c r="P130" s="1">
        <f t="shared" si="13"/>
        <v>0</v>
      </c>
      <c r="R130" s="1">
        <f t="shared" si="14"/>
        <v>0</v>
      </c>
      <c r="T130" s="1">
        <f t="shared" si="15"/>
        <v>0</v>
      </c>
    </row>
    <row r="131" spans="3:22">
      <c r="L131" s="14">
        <v>0</v>
      </c>
      <c r="N131" s="1">
        <f t="shared" si="16"/>
        <v>0</v>
      </c>
      <c r="P131" s="1">
        <f t="shared" si="13"/>
        <v>0</v>
      </c>
      <c r="R131" s="1">
        <f t="shared" si="14"/>
        <v>0</v>
      </c>
      <c r="T131" s="1">
        <f t="shared" si="15"/>
        <v>0</v>
      </c>
    </row>
    <row r="132" spans="3:22">
      <c r="L132" s="14">
        <v>0</v>
      </c>
      <c r="N132" s="1">
        <f t="shared" si="16"/>
        <v>0</v>
      </c>
      <c r="P132" s="1">
        <f t="shared" si="13"/>
        <v>0</v>
      </c>
      <c r="R132" s="1">
        <f t="shared" si="14"/>
        <v>0</v>
      </c>
      <c r="T132" s="1">
        <f t="shared" si="15"/>
        <v>0</v>
      </c>
    </row>
    <row r="133" spans="3:22">
      <c r="L133" s="14">
        <v>0</v>
      </c>
      <c r="N133" s="1">
        <f t="shared" si="16"/>
        <v>0</v>
      </c>
      <c r="P133" s="1">
        <f t="shared" si="13"/>
        <v>0</v>
      </c>
      <c r="R133" s="1">
        <f t="shared" si="14"/>
        <v>0</v>
      </c>
      <c r="T133" s="1">
        <f t="shared" si="15"/>
        <v>0</v>
      </c>
    </row>
    <row r="134" spans="3:22">
      <c r="L134" s="14">
        <v>0</v>
      </c>
      <c r="N134" s="1">
        <f t="shared" si="16"/>
        <v>0</v>
      </c>
      <c r="P134" s="1">
        <f t="shared" si="13"/>
        <v>0</v>
      </c>
      <c r="R134" s="1">
        <f t="shared" si="14"/>
        <v>0</v>
      </c>
      <c r="T134" s="1">
        <f t="shared" si="15"/>
        <v>0</v>
      </c>
    </row>
    <row r="135" spans="3:22">
      <c r="L135" s="14">
        <v>0</v>
      </c>
      <c r="N135" s="1">
        <f t="shared" si="16"/>
        <v>0</v>
      </c>
      <c r="P135" s="1">
        <f t="shared" si="13"/>
        <v>0</v>
      </c>
      <c r="R135" s="1">
        <f t="shared" si="14"/>
        <v>0</v>
      </c>
      <c r="T135" s="1">
        <f t="shared" si="15"/>
        <v>0</v>
      </c>
    </row>
    <row r="136" spans="3:22">
      <c r="L136" s="14">
        <v>0</v>
      </c>
      <c r="N136" s="1">
        <f t="shared" si="16"/>
        <v>0</v>
      </c>
      <c r="P136" s="1">
        <f t="shared" si="13"/>
        <v>0</v>
      </c>
      <c r="R136" s="1">
        <f t="shared" si="14"/>
        <v>0</v>
      </c>
      <c r="T136" s="1">
        <f t="shared" si="15"/>
        <v>0</v>
      </c>
    </row>
    <row r="137" spans="3:22">
      <c r="L137" s="14">
        <v>0</v>
      </c>
      <c r="N137" s="1">
        <f t="shared" si="16"/>
        <v>0</v>
      </c>
      <c r="P137" s="1">
        <f t="shared" si="13"/>
        <v>0</v>
      </c>
      <c r="R137" s="1">
        <f>IF(term&gt;3,ROUND(SUM(P137+(P137*$G$13)),0),0)</f>
        <v>0</v>
      </c>
      <c r="T137" s="1">
        <f t="shared" si="15"/>
        <v>0</v>
      </c>
    </row>
    <row r="138" spans="3:22">
      <c r="L138" s="18">
        <v>0</v>
      </c>
      <c r="N138" s="2">
        <f t="shared" si="16"/>
        <v>0</v>
      </c>
      <c r="P138" s="2">
        <f t="shared" si="13"/>
        <v>0</v>
      </c>
      <c r="R138" s="2">
        <f t="shared" si="14"/>
        <v>0</v>
      </c>
      <c r="T138" s="2">
        <f t="shared" si="15"/>
        <v>0</v>
      </c>
    </row>
    <row r="139" spans="3:22">
      <c r="C139" s="9" t="s">
        <v>7</v>
      </c>
      <c r="L139" s="36">
        <f>SUM(L127:L138)</f>
        <v>0</v>
      </c>
      <c r="M139" s="22"/>
      <c r="N139" s="36">
        <f>SUM(N127:N138)</f>
        <v>0</v>
      </c>
      <c r="O139" s="22"/>
      <c r="P139" s="36">
        <f>SUM(P127:P138)</f>
        <v>0</v>
      </c>
      <c r="Q139" s="22"/>
      <c r="R139" s="36">
        <f>SUM(R127:R138)</f>
        <v>0</v>
      </c>
      <c r="S139" s="22"/>
      <c r="T139" s="36">
        <f>SUM(T127:T138)</f>
        <v>0</v>
      </c>
    </row>
    <row r="140" spans="3:22">
      <c r="L140" s="14"/>
    </row>
    <row r="141" spans="3:22">
      <c r="L141" s="14"/>
    </row>
    <row r="142" spans="3:22">
      <c r="C142" s="27" t="s">
        <v>18</v>
      </c>
      <c r="D142" s="28"/>
      <c r="G142" s="28"/>
      <c r="H142" s="28"/>
      <c r="I142" s="28"/>
      <c r="J142" s="28"/>
      <c r="K142" s="28"/>
      <c r="L142" s="29"/>
      <c r="M142" s="28"/>
      <c r="N142" s="28"/>
      <c r="O142" s="28"/>
      <c r="P142" s="28"/>
      <c r="Q142" s="28"/>
      <c r="R142" s="28"/>
      <c r="S142" s="28"/>
      <c r="T142" s="28"/>
      <c r="U142" s="28"/>
      <c r="V142" s="28"/>
    </row>
    <row r="143" spans="3:22">
      <c r="C143" s="19" t="s">
        <v>19</v>
      </c>
      <c r="L143" s="14">
        <v>0</v>
      </c>
      <c r="N143" s="1">
        <f>IF(term&gt;1,ROUND(SUM(L143+(L143*$G$13)),0),0)</f>
        <v>0</v>
      </c>
      <c r="P143" s="1">
        <f>IF(term&gt;2,ROUND(SUM(N143+(N143*$G$13)),0),0)</f>
        <v>0</v>
      </c>
      <c r="R143" s="1">
        <f>IF(term&gt;3,ROUND(SUM(P143+(P143*$G$13)),0),0)</f>
        <v>0</v>
      </c>
      <c r="T143" s="1">
        <f>IF(term&gt;4,ROUND(SUM(R143+(R143*$G$13)),0),0)</f>
        <v>0</v>
      </c>
    </row>
    <row r="144" spans="3:22">
      <c r="C144" s="19" t="s">
        <v>20</v>
      </c>
      <c r="L144" s="18">
        <v>0</v>
      </c>
      <c r="N144" s="2">
        <f>IF(term&gt;1,ROUND(SUM(L144+(L144*$G$13)),0),0)</f>
        <v>0</v>
      </c>
      <c r="P144" s="2">
        <f>IF(term&gt;2,ROUND(SUM(N144+(N144*$G$13)),0),0)</f>
        <v>0</v>
      </c>
      <c r="R144" s="2">
        <f>IF(term&gt;3,ROUND(SUM(P144+(P144*$G$13)),0),0)</f>
        <v>0</v>
      </c>
      <c r="T144" s="2">
        <f>IF(term&gt;4,ROUND(SUM(R144+(R144*$G$13)),0),0)</f>
        <v>0</v>
      </c>
    </row>
    <row r="145" spans="3:22">
      <c r="C145" s="9" t="s">
        <v>21</v>
      </c>
      <c r="L145" s="36">
        <f>SUM(L143:L144)</f>
        <v>0</v>
      </c>
      <c r="M145" s="22"/>
      <c r="N145" s="36">
        <f>SUM(N143:N144)</f>
        <v>0</v>
      </c>
      <c r="O145" s="22"/>
      <c r="P145" s="36">
        <f>SUM(P143:P144)</f>
        <v>0</v>
      </c>
      <c r="Q145" s="22"/>
      <c r="R145" s="36">
        <f>SUM(R143:R144)</f>
        <v>0</v>
      </c>
      <c r="S145" s="22"/>
      <c r="T145" s="36">
        <f>SUM(T143:T144)</f>
        <v>0</v>
      </c>
    </row>
    <row r="146" spans="3:22">
      <c r="L146" s="14"/>
    </row>
    <row r="147" spans="3:22">
      <c r="L147" s="14"/>
    </row>
    <row r="148" spans="3:22">
      <c r="C148" s="941" t="s">
        <v>442</v>
      </c>
      <c r="D148" s="942"/>
      <c r="E148" s="942"/>
      <c r="G148" s="28"/>
      <c r="H148" s="28"/>
      <c r="I148" s="28"/>
      <c r="J148" s="28"/>
      <c r="K148" s="28"/>
      <c r="L148" s="29"/>
      <c r="M148" s="28"/>
      <c r="N148" s="28"/>
      <c r="O148" s="28"/>
      <c r="P148" s="28"/>
      <c r="Q148" s="28"/>
      <c r="R148" s="28"/>
      <c r="S148" s="28"/>
      <c r="T148" s="28"/>
      <c r="U148" s="28"/>
      <c r="V148" s="28"/>
    </row>
    <row r="149" spans="3:22">
      <c r="C149" s="778"/>
      <c r="D149" s="22"/>
      <c r="E149" s="22"/>
      <c r="F149" s="22"/>
      <c r="G149" s="22"/>
      <c r="H149" s="22"/>
      <c r="I149" s="22"/>
      <c r="J149" s="22"/>
      <c r="K149" s="22"/>
      <c r="L149" s="14">
        <v>0</v>
      </c>
      <c r="M149" s="22"/>
      <c r="N149" s="1">
        <v>0</v>
      </c>
      <c r="O149" s="22"/>
      <c r="P149" s="1">
        <f>IF(term&gt;2,ROUND(SUM(N149+(N149*$G$13)),0),0)</f>
        <v>0</v>
      </c>
      <c r="Q149" s="22"/>
      <c r="R149" s="1">
        <f>IF(term&gt;3,ROUND(SUM(P149+(P149*$G$13)),0),0)</f>
        <v>0</v>
      </c>
      <c r="S149" s="22"/>
      <c r="T149" s="1">
        <f>IF(term&gt;4,ROUND(SUM(R149+(R149*$G$13)),0),0)</f>
        <v>0</v>
      </c>
      <c r="U149" s="22"/>
      <c r="V149" s="22"/>
    </row>
    <row r="150" spans="3:22">
      <c r="L150" s="14">
        <v>0</v>
      </c>
      <c r="N150" s="1">
        <v>0</v>
      </c>
      <c r="P150" s="1">
        <f>IF(term&gt;2,ROUND(SUM(N150+(N150*$G$13)),0),0)</f>
        <v>0</v>
      </c>
      <c r="R150" s="1">
        <f>IF(term&gt;3,ROUND(SUM(P150+(P150*$G$13)),0),0)</f>
        <v>0</v>
      </c>
      <c r="T150" s="1">
        <f>IF(term&gt;4,ROUND(SUM(R150+(R150*$G$13)),0),0)</f>
        <v>0</v>
      </c>
    </row>
    <row r="151" spans="3:22">
      <c r="L151" s="14">
        <v>0</v>
      </c>
      <c r="N151" s="1">
        <f>IF(term&gt;1,ROUND(SUM(L151+(L151*$G$13)),0),0)</f>
        <v>0</v>
      </c>
      <c r="P151" s="1">
        <f>IF(term&gt;2,ROUND(SUM(N151+(N151*$G$13)),0),0)</f>
        <v>0</v>
      </c>
      <c r="R151" s="1">
        <f>IF(term&gt;3,ROUND(SUM(P151+(P151*$G$13)),0),0)</f>
        <v>0</v>
      </c>
      <c r="T151" s="1">
        <f>IF(term&gt;4,ROUND(SUM(R151+(R151*$G$13)),0),0)</f>
        <v>0</v>
      </c>
    </row>
    <row r="152" spans="3:22">
      <c r="L152" s="18">
        <v>0</v>
      </c>
      <c r="N152" s="2">
        <f>IF(term&gt;1,ROUND(SUM(L152+(L152*$G$13)),0),0)</f>
        <v>0</v>
      </c>
      <c r="P152" s="2">
        <f>IF(term&gt;2,ROUND(SUM(N152+(N152*$G$13)),0),0)</f>
        <v>0</v>
      </c>
      <c r="R152" s="2">
        <f>IF(term&gt;3,ROUND(SUM(P152+(P152*$G$13)),0),0)</f>
        <v>0</v>
      </c>
      <c r="T152" s="2">
        <f>IF(term&gt;4,ROUND(SUM(R152+(R152*$G$13)),0),0)</f>
        <v>0</v>
      </c>
    </row>
    <row r="153" spans="3:22">
      <c r="C153" s="9" t="s">
        <v>7</v>
      </c>
      <c r="L153" s="36">
        <f>SUM(L149:L152)</f>
        <v>0</v>
      </c>
      <c r="M153" s="22"/>
      <c r="N153" s="36">
        <f>SUM(N149:N152)</f>
        <v>0</v>
      </c>
      <c r="O153" s="22"/>
      <c r="P153" s="36">
        <f>SUM(P149:P152)</f>
        <v>0</v>
      </c>
      <c r="Q153" s="22"/>
      <c r="R153" s="36">
        <f>SUM(R149:R152)</f>
        <v>0</v>
      </c>
      <c r="S153" s="22"/>
      <c r="T153" s="36">
        <f>SUM(T149:T152)</f>
        <v>0</v>
      </c>
    </row>
    <row r="154" spans="3:22">
      <c r="L154" s="14"/>
    </row>
    <row r="155" spans="3:22">
      <c r="L155" s="14"/>
    </row>
    <row r="156" spans="3:22">
      <c r="C156" s="27" t="s">
        <v>443</v>
      </c>
      <c r="D156" s="28"/>
      <c r="G156" s="28"/>
      <c r="H156" s="28"/>
      <c r="I156" s="28"/>
      <c r="J156" s="28"/>
      <c r="K156" s="28"/>
      <c r="L156" s="29"/>
      <c r="M156" s="28"/>
      <c r="N156" s="28"/>
      <c r="O156" s="28"/>
      <c r="P156" s="28"/>
      <c r="Q156" s="28"/>
      <c r="R156" s="28"/>
      <c r="S156" s="28"/>
      <c r="T156" s="28"/>
      <c r="U156" s="28"/>
      <c r="V156" s="28"/>
    </row>
    <row r="157" spans="3:22">
      <c r="C157" s="778"/>
      <c r="D157" s="22"/>
      <c r="E157" s="22"/>
      <c r="F157" s="22"/>
      <c r="G157" s="22"/>
      <c r="H157" s="22"/>
      <c r="I157" s="22"/>
      <c r="J157" s="22"/>
      <c r="K157" s="22"/>
      <c r="L157" s="14">
        <v>0</v>
      </c>
      <c r="M157" s="22"/>
      <c r="N157" s="1">
        <v>0</v>
      </c>
      <c r="O157" s="22"/>
      <c r="P157" s="1">
        <v>0</v>
      </c>
      <c r="Q157" s="22"/>
      <c r="R157" s="1">
        <v>0</v>
      </c>
      <c r="S157" s="22"/>
      <c r="T157" s="1">
        <v>0</v>
      </c>
      <c r="U157" s="22"/>
      <c r="V157" s="22"/>
    </row>
    <row r="158" spans="3:22">
      <c r="L158" s="14">
        <v>0</v>
      </c>
      <c r="N158" s="1">
        <f>IF(term&gt;1,ROUND(SUM(L158+(L158*$G$13)),0),0)</f>
        <v>0</v>
      </c>
      <c r="P158" s="1">
        <f>IF(term&gt;2,ROUND(SUM(N158+(N158*$G$13)),0),0)</f>
        <v>0</v>
      </c>
      <c r="R158" s="1">
        <f>IF(term&gt;3,ROUND(SUM(P158+(P158*$G$13)),0),0)</f>
        <v>0</v>
      </c>
      <c r="T158" s="1">
        <f>IF(term&gt;4,ROUND(SUM(R158+(R158*$G$13)),0),0)</f>
        <v>0</v>
      </c>
    </row>
    <row r="159" spans="3:22">
      <c r="L159" s="14">
        <v>0</v>
      </c>
      <c r="N159" s="1">
        <f>IF(term&gt;1,ROUND(SUM(L159+(L159*$G$13)),0),0)</f>
        <v>0</v>
      </c>
      <c r="P159" s="1">
        <f>IF(term&gt;2,ROUND(SUM(N159+(N159*$G$13)),0),0)</f>
        <v>0</v>
      </c>
      <c r="R159" s="1">
        <f>IF(term&gt;3,ROUND(SUM(P159+(P159*$G$13)),0),0)</f>
        <v>0</v>
      </c>
      <c r="T159" s="1">
        <f>IF(term&gt;4,ROUND(SUM(R159+(R159*$G$13)),0),0)</f>
        <v>0</v>
      </c>
    </row>
    <row r="160" spans="3:22">
      <c r="L160" s="18">
        <v>0</v>
      </c>
      <c r="N160" s="2">
        <f>IF(term&gt;1,ROUND(SUM(L160+(L160*$G$13)),0),0)</f>
        <v>0</v>
      </c>
      <c r="P160" s="2">
        <f>IF(term&gt;2,ROUND(SUM(N160+(N160*$G$13)),0),0)</f>
        <v>0</v>
      </c>
      <c r="R160" s="2">
        <f>IF(term&gt;3,ROUND(SUM(P160+(P160*$G$13)),0),0)</f>
        <v>0</v>
      </c>
      <c r="T160" s="2">
        <f>IF(term&gt;4,ROUND(SUM(R160+(R160*$G$13)),0),0)</f>
        <v>0</v>
      </c>
    </row>
    <row r="161" spans="3:24">
      <c r="C161" s="9" t="s">
        <v>7</v>
      </c>
      <c r="L161" s="36">
        <f>SUM(L157:L160)</f>
        <v>0</v>
      </c>
      <c r="M161" s="22"/>
      <c r="N161" s="36">
        <f>SUM(N157:N160)</f>
        <v>0</v>
      </c>
      <c r="O161" s="22"/>
      <c r="P161" s="36">
        <f>SUM(P157:P160)</f>
        <v>0</v>
      </c>
      <c r="Q161" s="22"/>
      <c r="R161" s="36">
        <f>SUM(R157:R160)</f>
        <v>0</v>
      </c>
      <c r="S161" s="22"/>
      <c r="T161" s="36">
        <f>SUM(T157:T160)</f>
        <v>0</v>
      </c>
    </row>
    <row r="162" spans="3:24">
      <c r="C162" s="8" t="s">
        <v>14</v>
      </c>
      <c r="L162" s="14"/>
    </row>
    <row r="163" spans="3:24">
      <c r="L163" s="14"/>
    </row>
    <row r="164" spans="3:24">
      <c r="C164" s="27" t="s">
        <v>444</v>
      </c>
      <c r="D164" s="28"/>
      <c r="G164" s="28"/>
      <c r="H164" s="28"/>
      <c r="I164" s="28"/>
      <c r="J164" s="28"/>
      <c r="K164" s="28"/>
      <c r="L164" s="29"/>
      <c r="M164" s="28"/>
      <c r="N164" s="28"/>
      <c r="O164" s="28"/>
      <c r="P164" s="28"/>
      <c r="Q164" s="28"/>
      <c r="R164" s="28"/>
      <c r="S164" s="28"/>
      <c r="T164" s="28"/>
      <c r="U164" s="28"/>
      <c r="V164" s="28"/>
    </row>
    <row r="165" spans="3:24">
      <c r="C165" s="778"/>
      <c r="D165" s="22"/>
      <c r="E165" s="22"/>
      <c r="F165" s="22"/>
      <c r="G165" s="22"/>
      <c r="H165" s="22"/>
      <c r="I165" s="22"/>
      <c r="J165" s="22"/>
      <c r="K165" s="22"/>
      <c r="L165" s="22">
        <v>0</v>
      </c>
      <c r="M165" s="22"/>
      <c r="N165" s="22">
        <v>0</v>
      </c>
      <c r="O165" s="22"/>
      <c r="P165" s="22">
        <v>0</v>
      </c>
      <c r="Q165" s="22"/>
      <c r="R165" s="22">
        <v>0</v>
      </c>
      <c r="S165" s="22"/>
      <c r="T165" s="1">
        <f t="shared" ref="T165:T171" si="17">IF(term&gt;4,ROUND(SUM(R165+(R165*$G$13)),0),0)</f>
        <v>0</v>
      </c>
      <c r="U165" s="22"/>
      <c r="V165" s="22"/>
    </row>
    <row r="166" spans="3:24">
      <c r="L166" s="14">
        <v>0</v>
      </c>
      <c r="N166" s="1">
        <f t="shared" ref="N166:N171" si="18">IF(term&gt;1,ROUND(SUM(L166+(L166*$G$13)),0),0)</f>
        <v>0</v>
      </c>
      <c r="P166" s="1">
        <f t="shared" ref="P166:P171" si="19">IF(term&gt;2,ROUND(SUM(N166+(N166*$G$13)),0),0)</f>
        <v>0</v>
      </c>
      <c r="R166" s="1">
        <f t="shared" ref="R166:R171" si="20">IF(term&gt;3,ROUND(SUM(P166+(P166*$G$13)),0),0)</f>
        <v>0</v>
      </c>
      <c r="T166" s="1">
        <f t="shared" si="17"/>
        <v>0</v>
      </c>
    </row>
    <row r="167" spans="3:24">
      <c r="L167" s="14">
        <v>0</v>
      </c>
      <c r="N167" s="1">
        <f t="shared" si="18"/>
        <v>0</v>
      </c>
      <c r="P167" s="1">
        <f t="shared" si="19"/>
        <v>0</v>
      </c>
      <c r="R167" s="1">
        <f t="shared" si="20"/>
        <v>0</v>
      </c>
      <c r="T167" s="1">
        <f t="shared" si="17"/>
        <v>0</v>
      </c>
    </row>
    <row r="168" spans="3:24">
      <c r="L168" s="14">
        <v>0</v>
      </c>
      <c r="N168" s="1">
        <f t="shared" si="18"/>
        <v>0</v>
      </c>
      <c r="P168" s="1">
        <f t="shared" si="19"/>
        <v>0</v>
      </c>
      <c r="R168" s="1">
        <f t="shared" si="20"/>
        <v>0</v>
      </c>
      <c r="T168" s="1">
        <f t="shared" si="17"/>
        <v>0</v>
      </c>
    </row>
    <row r="169" spans="3:24">
      <c r="L169" s="14">
        <v>0</v>
      </c>
      <c r="N169" s="1">
        <f t="shared" si="18"/>
        <v>0</v>
      </c>
      <c r="P169" s="1">
        <f t="shared" si="19"/>
        <v>0</v>
      </c>
      <c r="R169" s="1">
        <f t="shared" si="20"/>
        <v>0</v>
      </c>
      <c r="T169" s="1">
        <f t="shared" si="17"/>
        <v>0</v>
      </c>
    </row>
    <row r="170" spans="3:24">
      <c r="L170" s="14">
        <v>0</v>
      </c>
      <c r="N170" s="1">
        <f t="shared" si="18"/>
        <v>0</v>
      </c>
      <c r="P170" s="1">
        <f t="shared" si="19"/>
        <v>0</v>
      </c>
      <c r="R170" s="1">
        <f t="shared" si="20"/>
        <v>0</v>
      </c>
      <c r="T170" s="1">
        <f t="shared" si="17"/>
        <v>0</v>
      </c>
    </row>
    <row r="171" spans="3:24">
      <c r="L171" s="14">
        <v>0</v>
      </c>
      <c r="N171" s="1">
        <f t="shared" si="18"/>
        <v>0</v>
      </c>
      <c r="P171" s="1">
        <f t="shared" si="19"/>
        <v>0</v>
      </c>
      <c r="R171" s="1">
        <f t="shared" si="20"/>
        <v>0</v>
      </c>
      <c r="T171" s="1">
        <f t="shared" si="17"/>
        <v>0</v>
      </c>
    </row>
    <row r="172" spans="3:24">
      <c r="L172" s="14">
        <v>0</v>
      </c>
      <c r="N172" s="1">
        <f>IF(term&gt;1,ROUND(SUM(L172+(L172*$G$13)),0),0)</f>
        <v>0</v>
      </c>
      <c r="P172" s="1">
        <f>IF(term&gt;2,ROUND(SUM(N172+(N172*$G$13)),0),0)</f>
        <v>0</v>
      </c>
      <c r="R172" s="1">
        <f>IF(term&gt;3,ROUND(SUM(P172+(P172*$G$13)),0),0)</f>
        <v>0</v>
      </c>
      <c r="T172" s="1">
        <f>IF(term&gt;4,ROUND(SUM(R172+(R172*$G$13)),0),0)</f>
        <v>0</v>
      </c>
    </row>
    <row r="173" spans="3:24">
      <c r="C173" s="19" t="s">
        <v>23</v>
      </c>
      <c r="G173" s="152" t="s">
        <v>432</v>
      </c>
      <c r="L173" s="178">
        <f>Tuition!K6</f>
        <v>0</v>
      </c>
      <c r="M173" s="22"/>
      <c r="N173" s="680">
        <f>Tuition!M6</f>
        <v>0</v>
      </c>
      <c r="O173" s="22"/>
      <c r="P173" s="680">
        <f>Tuition!O6</f>
        <v>0</v>
      </c>
      <c r="Q173" s="22"/>
      <c r="R173" s="680">
        <f>Tuition!Q6</f>
        <v>0</v>
      </c>
      <c r="S173" s="22"/>
      <c r="T173" s="680">
        <f>Tuition!S6</f>
        <v>0</v>
      </c>
      <c r="V173" s="14">
        <f>SUM(L173:T173)</f>
        <v>0</v>
      </c>
      <c r="X173" s="7" t="s">
        <v>356</v>
      </c>
    </row>
    <row r="174" spans="3:24">
      <c r="C174" s="19" t="s">
        <v>23</v>
      </c>
      <c r="G174" s="152" t="s">
        <v>433</v>
      </c>
      <c r="L174" s="178">
        <f>Tuition!K26</f>
        <v>0</v>
      </c>
      <c r="M174" s="22"/>
      <c r="N174" s="680">
        <f>Tuition!M26</f>
        <v>0</v>
      </c>
      <c r="O174" s="22"/>
      <c r="P174" s="680">
        <f>Tuition!O26</f>
        <v>0</v>
      </c>
      <c r="Q174" s="22"/>
      <c r="R174" s="680">
        <f>Tuition!Q26</f>
        <v>0</v>
      </c>
      <c r="S174" s="22"/>
      <c r="T174" s="680">
        <f>Tuition!S26</f>
        <v>0</v>
      </c>
      <c r="V174" s="14">
        <f>SUM(L174:T174)</f>
        <v>0</v>
      </c>
      <c r="X174" s="7" t="s">
        <v>355</v>
      </c>
    </row>
    <row r="175" spans="3:24">
      <c r="C175" s="19" t="s">
        <v>23</v>
      </c>
      <c r="G175" s="152" t="s">
        <v>434</v>
      </c>
      <c r="L175" s="178">
        <f>Tuition!K46</f>
        <v>0</v>
      </c>
      <c r="M175" s="22"/>
      <c r="N175" s="680">
        <f>Tuition!M46</f>
        <v>0</v>
      </c>
      <c r="O175" s="22"/>
      <c r="P175" s="680">
        <f>Tuition!O46</f>
        <v>0</v>
      </c>
      <c r="Q175" s="22"/>
      <c r="R175" s="680">
        <f>Tuition!Q46</f>
        <v>0</v>
      </c>
      <c r="S175" s="22"/>
      <c r="T175" s="680">
        <f>Tuition!S46</f>
        <v>0</v>
      </c>
      <c r="V175" s="14">
        <f>SUM(L175:T175)</f>
        <v>0</v>
      </c>
      <c r="X175" s="7" t="s">
        <v>356</v>
      </c>
    </row>
    <row r="176" spans="3:24">
      <c r="C176" s="793" t="s">
        <v>23</v>
      </c>
      <c r="G176" s="152" t="s">
        <v>454</v>
      </c>
      <c r="L176" s="35">
        <f>Tuition!K67</f>
        <v>0</v>
      </c>
      <c r="M176" s="22"/>
      <c r="N176" s="681">
        <f>Tuition!M67</f>
        <v>0</v>
      </c>
      <c r="O176" s="22"/>
      <c r="P176" s="681">
        <f>Tuition!O67</f>
        <v>0</v>
      </c>
      <c r="Q176" s="22"/>
      <c r="R176" s="681">
        <f>Tuition!Q67</f>
        <v>0</v>
      </c>
      <c r="S176" s="22"/>
      <c r="T176" s="681">
        <f>Tuition!S67</f>
        <v>0</v>
      </c>
      <c r="V176" s="14">
        <f>SUM(L176:T176)</f>
        <v>0</v>
      </c>
      <c r="X176" s="7" t="s">
        <v>356</v>
      </c>
    </row>
    <row r="177" spans="3:35">
      <c r="C177" s="9" t="s">
        <v>7</v>
      </c>
      <c r="L177" s="36">
        <f>SUM(L165:L176)</f>
        <v>0</v>
      </c>
      <c r="M177" s="22"/>
      <c r="N177" s="36">
        <f>SUM(N165:N176)</f>
        <v>0</v>
      </c>
      <c r="O177" s="22"/>
      <c r="P177" s="36">
        <f>SUM(P165:P176)</f>
        <v>0</v>
      </c>
      <c r="Q177" s="22"/>
      <c r="R177" s="36">
        <f>SUM(R165:R176)</f>
        <v>0</v>
      </c>
      <c r="S177" s="22"/>
      <c r="T177" s="36">
        <f>SUM(T165:T176)</f>
        <v>0</v>
      </c>
    </row>
    <row r="179" spans="3:35">
      <c r="C179" s="7" t="s">
        <v>52</v>
      </c>
      <c r="L179" s="4">
        <f>SUM(L105+L113+L122+L139+L145+L153+L161+L177)</f>
        <v>0</v>
      </c>
      <c r="M179" s="4"/>
      <c r="N179" s="4">
        <f>SUM(N105+N113+N122+N139+N145+N153+N161+N177)</f>
        <v>0</v>
      </c>
      <c r="O179" s="4"/>
      <c r="P179" s="4">
        <f>SUM(P105+P113+P122+P139+P145+P153+P161+P177)</f>
        <v>0</v>
      </c>
      <c r="Q179" s="4"/>
      <c r="R179" s="4">
        <f>SUM(R105+R113+R122+R139+R145+R153+R161+R177)</f>
        <v>0</v>
      </c>
      <c r="S179" s="4"/>
      <c r="T179" s="4">
        <f>SUM(T105+T113+T122+T139+T145+T153+T161+T177)</f>
        <v>0</v>
      </c>
      <c r="V179" s="14">
        <f>SUM(L179:T179)</f>
        <v>0</v>
      </c>
    </row>
    <row r="180" spans="3:35">
      <c r="L180" s="789">
        <f>SUM(L105+L113+L139+L153+L161+L177-L173-L174-L175-L176)</f>
        <v>0</v>
      </c>
      <c r="M180" s="789">
        <f t="shared" ref="M180:S180" si="21">SUM(M105+M113+M139+M153+M177-M173-M174-M175)</f>
        <v>0</v>
      </c>
      <c r="N180" s="789">
        <f>SUM(N105+N113+N139+N153+N161+N177-N173-N174-N175-N176)</f>
        <v>0</v>
      </c>
      <c r="O180" s="789">
        <f t="shared" si="21"/>
        <v>0</v>
      </c>
      <c r="P180" s="789">
        <f>SUM(P105+P113+P139+P153+P161+P177-P173-P174-P175-P176)</f>
        <v>0</v>
      </c>
      <c r="Q180" s="789">
        <f t="shared" si="21"/>
        <v>0</v>
      </c>
      <c r="R180" s="789">
        <f>SUM(R105+R113+R139+R153+R161+R177-R173-R174-R175-R176)</f>
        <v>0</v>
      </c>
      <c r="S180" s="789">
        <f t="shared" si="21"/>
        <v>0</v>
      </c>
      <c r="T180" s="789">
        <f>SUM(T105+T113+T139+T153+T161+T177-T173-T174-T175-T176)</f>
        <v>0</v>
      </c>
    </row>
    <row r="181" spans="3:35">
      <c r="L181" s="788"/>
      <c r="M181" s="788"/>
      <c r="N181" s="788"/>
      <c r="O181" s="788"/>
      <c r="P181" s="788"/>
      <c r="Q181" s="788"/>
      <c r="R181" s="788"/>
      <c r="S181" s="788"/>
      <c r="T181" s="788"/>
    </row>
    <row r="182" spans="3:35">
      <c r="C182" s="27" t="s">
        <v>24</v>
      </c>
      <c r="D182" s="28"/>
      <c r="G182" s="28"/>
      <c r="H182" s="28"/>
      <c r="I182" s="28"/>
      <c r="J182" s="28"/>
      <c r="K182" s="28"/>
      <c r="L182" s="28"/>
      <c r="M182" s="28"/>
      <c r="N182" s="28"/>
      <c r="O182" s="28"/>
      <c r="P182" s="28"/>
      <c r="Q182" s="28"/>
      <c r="R182" s="28"/>
      <c r="S182" s="28"/>
      <c r="T182" s="28"/>
      <c r="U182" s="28"/>
      <c r="V182" s="28"/>
      <c r="AF182" s="9" t="s">
        <v>411</v>
      </c>
      <c r="AG182" s="9"/>
      <c r="AH182" s="9" t="s">
        <v>412</v>
      </c>
      <c r="AI182" s="9"/>
    </row>
    <row r="183" spans="3:35">
      <c r="C183" s="19" t="s">
        <v>26</v>
      </c>
      <c r="AF183" s="8">
        <f>IF(SUM(L184:T185)&gt;25000,25000,SUM(L184:T185))</f>
        <v>0</v>
      </c>
      <c r="AH183" s="8">
        <f>SUM(L184:T185)-AF183</f>
        <v>0</v>
      </c>
    </row>
    <row r="184" spans="3:35">
      <c r="I184" s="11" t="s">
        <v>25</v>
      </c>
      <c r="L184" s="16">
        <v>0</v>
      </c>
      <c r="M184" s="16"/>
      <c r="N184" s="16">
        <v>0</v>
      </c>
      <c r="O184" s="16"/>
      <c r="P184" s="119">
        <v>0</v>
      </c>
      <c r="Q184" s="119"/>
      <c r="R184" s="119">
        <v>0</v>
      </c>
      <c r="S184" s="119"/>
      <c r="T184" s="119">
        <v>0</v>
      </c>
    </row>
    <row r="185" spans="3:35">
      <c r="I185" s="11" t="s">
        <v>53</v>
      </c>
      <c r="L185" s="8">
        <v>0</v>
      </c>
      <c r="N185" s="8">
        <v>0</v>
      </c>
      <c r="P185" s="120">
        <v>0</v>
      </c>
      <c r="Q185" s="120"/>
      <c r="R185" s="120">
        <v>0</v>
      </c>
      <c r="S185" s="120"/>
      <c r="T185" s="120">
        <v>0</v>
      </c>
    </row>
    <row r="186" spans="3:35">
      <c r="L186" s="37">
        <f>IF(L184+L185&gt;=25000,"25,000",L184+L185)</f>
        <v>0</v>
      </c>
      <c r="M186" s="38"/>
      <c r="N186" s="39">
        <f>IF(N184+N185+L186&gt;=25000, 25000-L186, N184+N185)</f>
        <v>0</v>
      </c>
      <c r="O186" s="38"/>
      <c r="P186" s="39">
        <f>IF(P184+P185+N186+L186&gt;=25000, 25000-(N186+L186), P184+P185)</f>
        <v>0</v>
      </c>
      <c r="Q186" s="38"/>
      <c r="R186" s="39">
        <f>IF(R184+R185+P186+N186+L186&gt;=25000, 25000-(P186+N186+L186), R184+R185)</f>
        <v>0</v>
      </c>
      <c r="S186" s="38"/>
      <c r="T186" s="39">
        <f>IF(T184+T185+R186+P186+N186+L186&gt;=25000, 25000-(R186+P186+N186+L186), T184+T185)</f>
        <v>0</v>
      </c>
    </row>
    <row r="187" spans="3:35">
      <c r="C187" s="19" t="s">
        <v>27</v>
      </c>
      <c r="AF187" s="8">
        <f>IF(SUM(L188:T189)&gt;25000,25000,SUM(L188:T189))</f>
        <v>0</v>
      </c>
      <c r="AH187" s="8">
        <f>SUM(L188:T189)-AF187</f>
        <v>0</v>
      </c>
    </row>
    <row r="188" spans="3:35">
      <c r="I188" s="11" t="s">
        <v>25</v>
      </c>
      <c r="L188" s="119">
        <v>0</v>
      </c>
      <c r="M188" s="119"/>
      <c r="N188" s="119">
        <v>0</v>
      </c>
      <c r="O188" s="119"/>
      <c r="P188" s="119">
        <v>0</v>
      </c>
      <c r="Q188" s="119"/>
      <c r="R188" s="119">
        <v>0</v>
      </c>
      <c r="S188" s="119"/>
      <c r="T188" s="119">
        <v>0</v>
      </c>
    </row>
    <row r="189" spans="3:35">
      <c r="I189" s="11" t="s">
        <v>53</v>
      </c>
      <c r="L189" s="120">
        <v>0</v>
      </c>
      <c r="M189" s="120"/>
      <c r="N189" s="120">
        <v>0</v>
      </c>
      <c r="O189" s="120"/>
      <c r="P189" s="120">
        <v>0</v>
      </c>
      <c r="Q189" s="120"/>
      <c r="R189" s="120">
        <v>0</v>
      </c>
      <c r="S189" s="120"/>
      <c r="T189" s="120">
        <v>0</v>
      </c>
    </row>
    <row r="190" spans="3:35">
      <c r="L190" s="122">
        <f>IF(L188+L189&gt;=25000,"25,000",L188+L189)</f>
        <v>0</v>
      </c>
      <c r="M190" s="123"/>
      <c r="N190" s="124">
        <f>IF(N188+N189+L190&gt;=25000, 25000-L190, N188+N189)</f>
        <v>0</v>
      </c>
      <c r="O190" s="123"/>
      <c r="P190" s="124">
        <f>IF(P188+P189+N190+L190&gt;=25000, 25000-(N190+L190), P188+P189)</f>
        <v>0</v>
      </c>
      <c r="Q190" s="123"/>
      <c r="R190" s="124">
        <f>IF(R188+R189+P190+N190+L190&gt;=25000, 25000-(P190+N190+L190), R188+R189)</f>
        <v>0</v>
      </c>
      <c r="S190" s="123"/>
      <c r="T190" s="124">
        <f>IF(T188+T189+R190+P190+N190+L190&gt;=25000, 25000-(R190+P190+N190+L190), T188+T189)</f>
        <v>0</v>
      </c>
    </row>
    <row r="191" spans="3:35">
      <c r="C191" s="19" t="s">
        <v>64</v>
      </c>
      <c r="L191" s="120"/>
      <c r="M191" s="120"/>
      <c r="N191" s="120"/>
      <c r="O191" s="120"/>
      <c r="P191" s="120"/>
      <c r="Q191" s="120"/>
      <c r="R191" s="120"/>
      <c r="S191" s="120"/>
      <c r="T191" s="120"/>
      <c r="AF191" s="8">
        <f>IF(SUM(L192:T193)&gt;25000,25000,SUM(L192:T193))</f>
        <v>0</v>
      </c>
      <c r="AH191" s="8">
        <f>SUM(L192:T193)-AF191</f>
        <v>0</v>
      </c>
    </row>
    <row r="192" spans="3:35">
      <c r="I192" s="11" t="s">
        <v>25</v>
      </c>
      <c r="L192" s="119">
        <v>0</v>
      </c>
      <c r="M192" s="119"/>
      <c r="N192" s="119">
        <v>0</v>
      </c>
      <c r="O192" s="119"/>
      <c r="P192" s="119">
        <v>0</v>
      </c>
      <c r="Q192" s="119"/>
      <c r="R192" s="119">
        <v>0</v>
      </c>
      <c r="S192" s="119"/>
      <c r="T192" s="119">
        <v>0</v>
      </c>
    </row>
    <row r="193" spans="3:34">
      <c r="I193" s="11" t="s">
        <v>53</v>
      </c>
      <c r="L193" s="120">
        <v>0</v>
      </c>
      <c r="M193" s="120"/>
      <c r="N193" s="120">
        <v>0</v>
      </c>
      <c r="O193" s="120"/>
      <c r="P193" s="120">
        <v>0</v>
      </c>
      <c r="Q193" s="120"/>
      <c r="R193" s="120">
        <v>0</v>
      </c>
      <c r="S193" s="120"/>
      <c r="T193" s="120">
        <v>0</v>
      </c>
    </row>
    <row r="194" spans="3:34">
      <c r="L194" s="122">
        <f>IF(L192+L193&gt;=25000,"25,000",L192+L193)</f>
        <v>0</v>
      </c>
      <c r="M194" s="123"/>
      <c r="N194" s="124">
        <f>IF(N192+N193+L194&gt;=25000, 25000-L194, N192+N193)</f>
        <v>0</v>
      </c>
      <c r="O194" s="123"/>
      <c r="P194" s="124">
        <f>IF(P192+P193+N194+L194&gt;=25000, 25000-(N194+L194), P192+P193)</f>
        <v>0</v>
      </c>
      <c r="Q194" s="123"/>
      <c r="R194" s="124">
        <f>IF(R192+R193+P194+N194+L194&gt;=25000, 25000-(P194+N194+L194), R192+R193)</f>
        <v>0</v>
      </c>
      <c r="S194" s="123"/>
      <c r="T194" s="124">
        <f>IF(T192+T193+R194+P194+N194+L194&gt;=25000, 25000-(R194+P194+N194+L194), T192+T193)</f>
        <v>0</v>
      </c>
    </row>
    <row r="195" spans="3:34">
      <c r="C195" s="19" t="s">
        <v>28</v>
      </c>
      <c r="L195" s="120"/>
      <c r="M195" s="120"/>
      <c r="N195" s="120"/>
      <c r="O195" s="120"/>
      <c r="P195" s="120"/>
      <c r="Q195" s="120"/>
      <c r="R195" s="120"/>
      <c r="S195" s="120"/>
      <c r="T195" s="120"/>
      <c r="AF195" s="8">
        <f>IF(SUM(L196:T197)&gt;25000,25000,SUM(L196:T197))</f>
        <v>0</v>
      </c>
      <c r="AH195" s="8">
        <f>SUM(L196:T197)-AF195</f>
        <v>0</v>
      </c>
    </row>
    <row r="196" spans="3:34">
      <c r="I196" s="11" t="s">
        <v>25</v>
      </c>
      <c r="L196" s="119">
        <v>0</v>
      </c>
      <c r="M196" s="119"/>
      <c r="N196" s="119">
        <v>0</v>
      </c>
      <c r="O196" s="119"/>
      <c r="P196" s="119">
        <v>0</v>
      </c>
      <c r="Q196" s="119"/>
      <c r="R196" s="119">
        <v>0</v>
      </c>
      <c r="S196" s="119"/>
      <c r="T196" s="119">
        <v>0</v>
      </c>
    </row>
    <row r="197" spans="3:34">
      <c r="I197" s="11" t="s">
        <v>53</v>
      </c>
      <c r="L197" s="120">
        <v>0</v>
      </c>
      <c r="M197" s="120"/>
      <c r="N197" s="120">
        <v>0</v>
      </c>
      <c r="O197" s="120"/>
      <c r="P197" s="120">
        <v>0</v>
      </c>
      <c r="Q197" s="120"/>
      <c r="R197" s="120">
        <v>0</v>
      </c>
      <c r="S197" s="120"/>
      <c r="T197" s="120">
        <v>0</v>
      </c>
    </row>
    <row r="198" spans="3:34">
      <c r="L198" s="37">
        <f>IF(L196+L197&gt;=25000,"25,000",L196+L197)</f>
        <v>0</v>
      </c>
      <c r="M198" s="38"/>
      <c r="N198" s="39">
        <f>IF(N196+N197+L198&gt;=25000, 25000-L198, N196+N197)</f>
        <v>0</v>
      </c>
      <c r="O198" s="38"/>
      <c r="P198" s="39">
        <f>IF(P196+P197+N198+L198&gt;=25000, 25000-(N198+L198), P196+P197)</f>
        <v>0</v>
      </c>
      <c r="Q198" s="38"/>
      <c r="R198" s="39">
        <f>IF(R196+R197+P198+N198+L198&gt;=25000, 25000-(P198+N198+L198), R196+R197)</f>
        <v>0</v>
      </c>
      <c r="S198" s="38"/>
      <c r="T198" s="39">
        <f>IF(T196+T197+R198+P198+N198+L198&gt;=25000, 25000-(R198+P198+N198+L198), T196+T197)</f>
        <v>0</v>
      </c>
      <c r="AF198" s="30">
        <f>SUM(AF183:AF196)</f>
        <v>0</v>
      </c>
      <c r="AH198" s="30">
        <f>SUM(AH183:AH195)</f>
        <v>0</v>
      </c>
    </row>
    <row r="200" spans="3:34">
      <c r="C200" s="7" t="s">
        <v>29</v>
      </c>
      <c r="D200" s="7"/>
      <c r="E200" s="7"/>
      <c r="F200" s="7"/>
      <c r="G200" s="7"/>
      <c r="H200" s="7"/>
      <c r="I200" s="7"/>
      <c r="J200" s="7"/>
      <c r="K200" s="7"/>
      <c r="L200" s="40">
        <f>SUM(L184+L188+L192+L196)</f>
        <v>0</v>
      </c>
      <c r="M200" s="40"/>
      <c r="N200" s="40">
        <f>SUM(N184+N188+N192+N196)</f>
        <v>0</v>
      </c>
      <c r="O200" s="40"/>
      <c r="P200" s="121">
        <f>SUM(P184+P188+P192+P196)</f>
        <v>0</v>
      </c>
      <c r="Q200" s="121"/>
      <c r="R200" s="121">
        <f>SUM(R184+R188+R192+R196)</f>
        <v>0</v>
      </c>
      <c r="S200" s="121"/>
      <c r="T200" s="121">
        <f>SUM(T184+T188+T192+T196)</f>
        <v>0</v>
      </c>
      <c r="V200" s="120">
        <f>SUM(L200:T200)</f>
        <v>0</v>
      </c>
    </row>
    <row r="201" spans="3:34">
      <c r="C201" s="7" t="s">
        <v>30</v>
      </c>
      <c r="D201" s="7"/>
      <c r="E201" s="7"/>
      <c r="F201" s="7"/>
      <c r="G201" s="7"/>
      <c r="H201" s="7"/>
      <c r="I201" s="7"/>
      <c r="J201" s="7"/>
      <c r="K201" s="7"/>
      <c r="L201" s="40">
        <f>SUM(L185+L189+L193+L197)</f>
        <v>0</v>
      </c>
      <c r="M201" s="40"/>
      <c r="N201" s="121">
        <f>SUM(N185+N189+N193+N197)</f>
        <v>0</v>
      </c>
      <c r="O201" s="40"/>
      <c r="P201" s="121">
        <f>SUM(P185+P189+P193+P197)</f>
        <v>0</v>
      </c>
      <c r="Q201" s="121"/>
      <c r="R201" s="121">
        <f>SUM(R185+R189+R193+R197)</f>
        <v>0</v>
      </c>
      <c r="S201" s="121"/>
      <c r="T201" s="121">
        <f>SUM(T185+T189+T193+T197)</f>
        <v>0</v>
      </c>
      <c r="V201" s="120">
        <f>SUM(L201:T201)</f>
        <v>0</v>
      </c>
    </row>
    <row r="205" spans="3:34" s="21" customFormat="1" ht="18.75" customHeight="1">
      <c r="C205" s="20" t="s">
        <v>31</v>
      </c>
      <c r="L205" s="41">
        <f>SUM(L179+L200+L201)</f>
        <v>0</v>
      </c>
      <c r="M205" s="41"/>
      <c r="N205" s="41">
        <f>SUM(N179+N200+N201)</f>
        <v>0</v>
      </c>
      <c r="O205" s="41"/>
      <c r="P205" s="41">
        <f>SUM(P179+P200+P201)</f>
        <v>0</v>
      </c>
      <c r="Q205" s="41"/>
      <c r="R205" s="41">
        <f>SUM(R179+R200+R201)</f>
        <v>0</v>
      </c>
      <c r="S205" s="41"/>
      <c r="T205" s="41">
        <f>SUM(T179+T200+T201)</f>
        <v>0</v>
      </c>
    </row>
    <row r="206" spans="3:34" s="21" customFormat="1" ht="18.75" customHeight="1">
      <c r="C206" s="20" t="s">
        <v>32</v>
      </c>
      <c r="L206" s="42">
        <f>IF(L186&gt;25000,"25000",L186)+IF(L190&gt;25000,"25000",L190)+IF(L194&gt;25000,"25000",L194)+IF(L198&gt;25000,"25000",L198)+L180</f>
        <v>0</v>
      </c>
      <c r="M206" s="41"/>
      <c r="N206" s="42">
        <f>IF(N186&gt;25000,"25000",N186)+IF(N190&gt;25000,"25000",N190)+IF(N194&gt;25000,"25000",N194)+IF(N198&gt;25000,"25000",N198)+N180</f>
        <v>0</v>
      </c>
      <c r="O206" s="41"/>
      <c r="P206" s="42">
        <f>IF(P186&gt;25000,"25000",P186)+IF(P190&gt;25000,"25000",P190)+IF(P194&gt;25000,"25000",P194)+IF(P198&gt;25000,"25000",P198)+P180</f>
        <v>0</v>
      </c>
      <c r="Q206" s="41"/>
      <c r="R206" s="42">
        <f>IF(R186&gt;25000,"25000",R186)+IF(R190&gt;25000,"25000",R190)+IF(R194&gt;25000,"25000",R194)+IF(R198&gt;25000,"25000",R198)+R180</f>
        <v>0</v>
      </c>
      <c r="S206" s="41"/>
      <c r="T206" s="42">
        <f>IF(T186&gt;25000,"25000",T186)+IF(T190&gt;25000,"25000",T190)+IF(T194&gt;25000,"25000",T194)+IF(T198&gt;25000,"25000",T198)+T180</f>
        <v>0</v>
      </c>
    </row>
    <row r="207" spans="3:34" s="21" customFormat="1" ht="18.75" customHeight="1">
      <c r="C207" s="20" t="s">
        <v>33</v>
      </c>
      <c r="L207" s="43">
        <f>ROUND('F&amp;A Calculation - Sponsor Funds'!I22,0)</f>
        <v>0</v>
      </c>
      <c r="M207" s="41"/>
      <c r="N207" s="43">
        <f>ROUND('F&amp;A Calculation - Sponsor Funds'!I32,0)</f>
        <v>0</v>
      </c>
      <c r="O207" s="41"/>
      <c r="P207" s="43">
        <f>ROUND('F&amp;A Calculation - Sponsor Funds'!I42,0)</f>
        <v>0</v>
      </c>
      <c r="Q207" s="41"/>
      <c r="R207" s="43">
        <f>ROUND('F&amp;A Calculation - Sponsor Funds'!I52,0)</f>
        <v>0</v>
      </c>
      <c r="S207" s="41"/>
      <c r="T207" s="43">
        <f>ROUND('F&amp;A Calculation - Sponsor Funds'!I62,0)</f>
        <v>0</v>
      </c>
    </row>
    <row r="208" spans="3:34" s="21" customFormat="1" ht="18.75" customHeight="1">
      <c r="C208" s="20" t="s">
        <v>34</v>
      </c>
      <c r="L208" s="41">
        <f>SUM(L205+L207)</f>
        <v>0</v>
      </c>
      <c r="M208" s="41"/>
      <c r="N208" s="41">
        <f>SUM(N205+N207)</f>
        <v>0</v>
      </c>
      <c r="O208" s="41"/>
      <c r="P208" s="41">
        <f>SUM(P205+P207)</f>
        <v>0</v>
      </c>
      <c r="Q208" s="41"/>
      <c r="R208" s="41">
        <f>SUM(R205+R207)</f>
        <v>0</v>
      </c>
      <c r="S208" s="41"/>
      <c r="T208" s="41">
        <f>SUM(T205+T207)</f>
        <v>0</v>
      </c>
    </row>
    <row r="209" spans="3:20" ht="15" customHeight="1">
      <c r="E209" s="929" t="s">
        <v>158</v>
      </c>
      <c r="F209" s="929"/>
      <c r="G209" s="929"/>
      <c r="H209" s="663"/>
      <c r="I209" s="663"/>
      <c r="J209" s="147"/>
      <c r="K209" s="147"/>
      <c r="L209" s="725"/>
      <c r="M209" s="725"/>
      <c r="N209" s="725"/>
      <c r="O209" s="725"/>
      <c r="P209" s="725"/>
      <c r="Q209" s="725"/>
      <c r="R209" s="725"/>
      <c r="S209" s="725"/>
      <c r="T209" s="725"/>
    </row>
    <row r="210" spans="3:20" ht="23.25" customHeight="1">
      <c r="E210" s="929"/>
      <c r="F210" s="929"/>
      <c r="G210" s="929"/>
      <c r="H210" s="663"/>
      <c r="I210" s="663"/>
      <c r="J210" s="147"/>
      <c r="K210" s="147"/>
      <c r="L210" s="148">
        <f>+L179+L200</f>
        <v>0</v>
      </c>
      <c r="M210" s="725"/>
      <c r="N210" s="148">
        <f>+N179+N200</f>
        <v>0</v>
      </c>
      <c r="O210" s="725"/>
      <c r="P210" s="148">
        <f>+P179+P200</f>
        <v>0</v>
      </c>
      <c r="Q210" s="725"/>
      <c r="R210" s="148">
        <f>+R179+R200</f>
        <v>0</v>
      </c>
      <c r="S210" s="725"/>
      <c r="T210" s="148">
        <f>+T179+T200</f>
        <v>0</v>
      </c>
    </row>
    <row r="211" spans="3:20" ht="18" thickBot="1">
      <c r="C211" s="54">
        <f>term</f>
        <v>5</v>
      </c>
      <c r="D211" s="55" t="s">
        <v>61</v>
      </c>
    </row>
    <row r="212" spans="3:20" ht="17.399999999999999">
      <c r="C212" s="670" t="s">
        <v>362</v>
      </c>
      <c r="D212" s="671"/>
      <c r="E212" s="44">
        <f>L205+N205+P205+R205+T205</f>
        <v>0</v>
      </c>
      <c r="F212" s="5"/>
      <c r="I212" s="58"/>
      <c r="J212" s="61"/>
      <c r="K212" s="61"/>
      <c r="L212" s="61"/>
      <c r="M212" s="61"/>
      <c r="N212" s="61"/>
      <c r="O212" s="61"/>
      <c r="P212" s="61"/>
      <c r="Q212" s="61"/>
      <c r="R212" s="61"/>
      <c r="S212" s="61"/>
      <c r="T212" s="61"/>
    </row>
    <row r="213" spans="3:20" ht="17.399999999999999">
      <c r="C213" s="672" t="s">
        <v>59</v>
      </c>
      <c r="D213" s="673"/>
      <c r="E213" s="45">
        <f>SUM(L206+N206+P206+R206+T206)</f>
        <v>0</v>
      </c>
      <c r="F213" s="5"/>
      <c r="I213" s="59"/>
      <c r="J213" s="61"/>
      <c r="K213" s="61"/>
      <c r="L213" s="61"/>
      <c r="M213" s="61"/>
      <c r="N213" s="61"/>
      <c r="O213" s="61"/>
      <c r="P213" s="61"/>
      <c r="Q213" s="61"/>
      <c r="R213" s="61"/>
      <c r="S213" s="61"/>
      <c r="T213" s="61"/>
    </row>
    <row r="214" spans="3:20" ht="17.399999999999999">
      <c r="C214" s="672" t="s">
        <v>363</v>
      </c>
      <c r="D214" s="673"/>
      <c r="E214" s="45">
        <f>SUM(L207+N207+P207+R207+T207)</f>
        <v>0</v>
      </c>
      <c r="F214" s="5"/>
      <c r="I214" s="60"/>
      <c r="J214" s="62"/>
      <c r="K214" s="62"/>
      <c r="L214" s="62"/>
      <c r="M214" s="62"/>
      <c r="N214" s="62"/>
      <c r="O214" s="62"/>
      <c r="P214" s="62"/>
      <c r="Q214" s="62"/>
      <c r="R214" s="62"/>
      <c r="S214" s="62"/>
      <c r="T214" s="62"/>
    </row>
    <row r="215" spans="3:20" ht="18" thickBot="1">
      <c r="C215" s="674" t="s">
        <v>60</v>
      </c>
      <c r="D215" s="675"/>
      <c r="E215" s="46">
        <f>(E212+E214)</f>
        <v>0</v>
      </c>
      <c r="F215" s="5"/>
    </row>
    <row r="217" spans="3:20">
      <c r="L217" s="939"/>
      <c r="M217" s="940"/>
      <c r="N217" s="940"/>
      <c r="O217" s="935"/>
      <c r="P217" s="936"/>
      <c r="Q217" s="936"/>
      <c r="R217" s="936"/>
      <c r="S217" s="936"/>
      <c r="T217" s="936"/>
    </row>
    <row r="218" spans="3:20">
      <c r="L218" s="940"/>
      <c r="M218" s="940"/>
      <c r="N218" s="940"/>
      <c r="O218" s="936"/>
      <c r="P218" s="936"/>
      <c r="Q218" s="936"/>
      <c r="R218" s="936"/>
      <c r="S218" s="936"/>
      <c r="T218" s="936"/>
    </row>
    <row r="219" spans="3:20">
      <c r="L219" s="933"/>
      <c r="M219" s="934"/>
      <c r="N219" s="934"/>
      <c r="O219" s="937"/>
      <c r="P219" s="938"/>
    </row>
    <row r="220" spans="3:20">
      <c r="L220" s="933"/>
      <c r="M220" s="934"/>
      <c r="N220" s="934"/>
      <c r="O220" s="935"/>
      <c r="P220" s="935"/>
    </row>
  </sheetData>
  <mergeCells count="19">
    <mergeCell ref="E209:G210"/>
    <mergeCell ref="D31:I31"/>
    <mergeCell ref="G32:T33"/>
    <mergeCell ref="L219:N219"/>
    <mergeCell ref="L220:N220"/>
    <mergeCell ref="O217:T218"/>
    <mergeCell ref="O219:P219"/>
    <mergeCell ref="O220:P220"/>
    <mergeCell ref="L217:N218"/>
    <mergeCell ref="C148:E148"/>
    <mergeCell ref="AD2:AF2"/>
    <mergeCell ref="AD3:AF3"/>
    <mergeCell ref="C1:I2"/>
    <mergeCell ref="E25:K25"/>
    <mergeCell ref="C27:C30"/>
    <mergeCell ref="D27:I27"/>
    <mergeCell ref="D28:I28"/>
    <mergeCell ref="D29:I29"/>
    <mergeCell ref="D30:I30"/>
  </mergeCells>
  <phoneticPr fontId="25" type="noConversion"/>
  <dataValidations count="2">
    <dataValidation allowBlank="1" showInputMessage="1" showErrorMessage="1" promptTitle="Reminder" prompt="Postdoc minimum amounts can be found at:_x000a__x000a_http://www.grad-college.iastate.edu/post_doc/policies.php" sqref="I68"/>
    <dataValidation type="list" allowBlank="1" showInputMessage="1" showErrorMessage="1" sqref="L36 N36 P36 R36 T36">
      <formula1>$L$13:$L$18</formula1>
    </dataValidation>
  </dataValidations>
  <hyperlinks>
    <hyperlink ref="G32:R33" r:id="rId1" display="NIH Salary Cap policy @ http://grants.nih.gov/grants/guide/notice-files/NOT-OD-07-051.html"/>
    <hyperlink ref="G75:G77" r:id="rId2" display="Salary Cap for Graduate Students"/>
    <hyperlink ref="G66:R66" r:id="rId3" display="Salary cap for Post Docs http://grants.nih.gov/grants/guide/notice-files/NOT-OD-07-057.html"/>
    <hyperlink ref="G75:L75" r:id="rId4" display="Salary Cap for Graduate Students @ http://grants.nih.gov/grants/guide/notice-files/NOT-OD-06-026.html"/>
    <hyperlink ref="G75:T75" r:id="rId5" display="Salary Cap for Graduate Students @ http://grants.nih.gov/grants/guide/notice-files/NOT-OD-12-033.html"/>
    <hyperlink ref="G32:T33" r:id="rId6" display="NIH Salary Cap policy @ http://grants.nih.gov/grants/guide/notice-files/NOT-OD-12-035.html"/>
    <hyperlink ref="G66:T66" r:id="rId7" display="Salary cap for Post Docs http://grants.nih.gov/grants/guide/notice-files/NOT-OD-12-033.html"/>
  </hyperlinks>
  <pageMargins left="0.25" right="0.25" top="0.5" bottom="0.5" header="0.5" footer="0.5"/>
  <pageSetup scale="68" fitToHeight="3" orientation="portrait" horizontalDpi="4294967292" r:id="rId8"/>
  <headerFooter alignWithMargins="0"/>
  <rowBreaks count="3" manualBreakCount="3">
    <brk id="85" max="16383" man="1"/>
    <brk id="163" max="16383" man="1"/>
    <brk id="216" max="16383" man="1"/>
  </rowBreaks>
  <drawing r:id="rId9"/>
  <legacy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M60"/>
  <sheetViews>
    <sheetView zoomScale="85" zoomScaleNormal="100" zoomScaleSheetLayoutView="75" workbookViewId="0">
      <selection activeCell="C16" sqref="C16"/>
    </sheetView>
  </sheetViews>
  <sheetFormatPr defaultColWidth="9.109375" defaultRowHeight="15"/>
  <cols>
    <col min="1" max="1" width="29.5546875" style="126" customWidth="1"/>
    <col min="2" max="2" width="6.44140625" style="128" customWidth="1"/>
    <col min="3" max="3" width="12.6640625" style="128" customWidth="1"/>
    <col min="4" max="4" width="9" style="128" customWidth="1"/>
    <col min="5" max="5" width="11.5546875" style="128" customWidth="1"/>
    <col min="6" max="6" width="6.5546875" style="128" customWidth="1"/>
    <col min="7" max="7" width="13.44140625" style="128" customWidth="1"/>
    <col min="8" max="8" width="13.109375" style="128" customWidth="1"/>
    <col min="9" max="9" width="7.109375" style="128" customWidth="1"/>
    <col min="10" max="10" width="5.6640625" style="128" customWidth="1"/>
    <col min="11" max="11" width="13.88671875" style="128" customWidth="1"/>
    <col min="12" max="12" width="5.6640625" style="128" customWidth="1"/>
    <col min="13" max="13" width="13.88671875" style="129" customWidth="1"/>
    <col min="14" max="14" width="2.6640625" style="129" customWidth="1"/>
    <col min="15" max="16384" width="9.109375" style="129"/>
  </cols>
  <sheetData>
    <row r="2" spans="1:13">
      <c r="B2" s="960" t="s">
        <v>153</v>
      </c>
      <c r="C2" s="960"/>
      <c r="D2" s="960"/>
      <c r="E2" s="960"/>
      <c r="F2" s="960"/>
      <c r="G2" s="960"/>
      <c r="H2" s="960"/>
      <c r="I2" s="957" t="str">
        <f>+'Base Budget'!C38</f>
        <v>PI name</v>
      </c>
      <c r="J2" s="957"/>
      <c r="K2" s="957"/>
    </row>
    <row r="3" spans="1:13">
      <c r="B3" s="129"/>
      <c r="C3" s="129"/>
      <c r="D3" s="130"/>
      <c r="E3" s="130"/>
      <c r="F3" s="130"/>
      <c r="G3" s="130"/>
      <c r="H3" s="130"/>
      <c r="I3" s="129"/>
      <c r="J3" s="129"/>
      <c r="K3" s="129"/>
    </row>
    <row r="4" spans="1:13" ht="31.5" customHeight="1">
      <c r="A4" s="961" t="s">
        <v>54</v>
      </c>
      <c r="B4" s="962"/>
      <c r="C4" s="962"/>
      <c r="D4" s="962"/>
      <c r="E4" s="962"/>
      <c r="F4" s="962"/>
      <c r="G4" s="962"/>
      <c r="H4" s="962"/>
      <c r="I4" s="962"/>
      <c r="J4" s="962"/>
      <c r="K4" s="962"/>
      <c r="L4" s="962"/>
      <c r="M4" s="963"/>
    </row>
    <row r="5" spans="1:13">
      <c r="A5" s="943" t="s">
        <v>55</v>
      </c>
      <c r="B5" s="944"/>
      <c r="C5" s="944"/>
      <c r="D5" s="944"/>
      <c r="E5" s="944"/>
      <c r="F5" s="944"/>
      <c r="G5" s="944"/>
      <c r="H5" s="944"/>
      <c r="I5" s="944"/>
      <c r="J5" s="944"/>
      <c r="K5" s="944"/>
      <c r="L5" s="944"/>
      <c r="M5" s="945"/>
    </row>
    <row r="6" spans="1:13">
      <c r="A6" s="946"/>
      <c r="B6" s="947"/>
      <c r="C6" s="947"/>
      <c r="D6" s="947"/>
      <c r="E6" s="947"/>
      <c r="F6" s="947"/>
      <c r="G6" s="947"/>
      <c r="H6" s="947"/>
      <c r="I6" s="947"/>
      <c r="J6" s="947"/>
      <c r="K6" s="947"/>
      <c r="L6" s="947"/>
      <c r="M6" s="948"/>
    </row>
    <row r="7" spans="1:13" s="138" customFormat="1" ht="51" customHeight="1">
      <c r="A7" s="137"/>
      <c r="B7" s="952" t="s">
        <v>149</v>
      </c>
      <c r="C7" s="953"/>
      <c r="D7" s="952" t="s">
        <v>125</v>
      </c>
      <c r="E7" s="953"/>
      <c r="F7" s="952" t="s">
        <v>126</v>
      </c>
      <c r="G7" s="953"/>
      <c r="H7" s="952" t="s">
        <v>127</v>
      </c>
      <c r="I7" s="953"/>
      <c r="J7" s="952" t="s">
        <v>128</v>
      </c>
      <c r="K7" s="953"/>
      <c r="L7" s="952" t="s">
        <v>150</v>
      </c>
      <c r="M7" s="953"/>
    </row>
    <row r="8" spans="1:13" s="131" customFormat="1" ht="22.5" customHeight="1">
      <c r="A8" s="964" t="s">
        <v>143</v>
      </c>
      <c r="B8" s="955">
        <f>+'Base Budget'!L179+'Base Budget'!L200</f>
        <v>0</v>
      </c>
      <c r="C8" s="956"/>
      <c r="D8" s="955">
        <f>+'Base Budget'!N179+'Base Budget'!N200</f>
        <v>0</v>
      </c>
      <c r="E8" s="956"/>
      <c r="F8" s="955">
        <f>+'Base Budget'!P179+'Base Budget'!P200</f>
        <v>0</v>
      </c>
      <c r="G8" s="956"/>
      <c r="H8" s="955">
        <f>+'Base Budget'!R179+'Base Budget'!R200</f>
        <v>0</v>
      </c>
      <c r="I8" s="956"/>
      <c r="J8" s="955">
        <f>+'Base Budget'!T179+'Base Budget'!T200</f>
        <v>0</v>
      </c>
      <c r="K8" s="956"/>
      <c r="L8" s="954">
        <f>SUM(B8:K8)</f>
        <v>0</v>
      </c>
      <c r="M8" s="954"/>
    </row>
    <row r="9" spans="1:13" s="131" customFormat="1" ht="12.75" customHeight="1">
      <c r="A9" s="965"/>
      <c r="B9" s="966" t="s">
        <v>146</v>
      </c>
      <c r="C9" s="967"/>
      <c r="D9" s="968"/>
      <c r="E9" s="969"/>
      <c r="F9" s="968"/>
      <c r="G9" s="969"/>
      <c r="H9" s="968"/>
      <c r="I9" s="969"/>
      <c r="J9" s="968"/>
      <c r="K9" s="969"/>
      <c r="L9" s="951" t="s">
        <v>147</v>
      </c>
      <c r="M9" s="951"/>
    </row>
    <row r="10" spans="1:13" s="131" customFormat="1" ht="30.75" customHeight="1" thickBot="1">
      <c r="A10" s="139" t="s">
        <v>144</v>
      </c>
      <c r="B10" s="949">
        <f>+'Base Budget'!L201</f>
        <v>0</v>
      </c>
      <c r="C10" s="950"/>
      <c r="D10" s="949">
        <f>+'Base Budget'!N201</f>
        <v>0</v>
      </c>
      <c r="E10" s="950"/>
      <c r="F10" s="949">
        <f>+'Base Budget'!P201</f>
        <v>0</v>
      </c>
      <c r="G10" s="950"/>
      <c r="H10" s="949">
        <f>+'Base Budget'!R201</f>
        <v>0</v>
      </c>
      <c r="I10" s="950"/>
      <c r="J10" s="949">
        <f>+'Base Budget'!T201</f>
        <v>0</v>
      </c>
      <c r="K10" s="950"/>
      <c r="L10" s="954">
        <f>SUM(B10:K10)</f>
        <v>0</v>
      </c>
      <c r="M10" s="954"/>
    </row>
    <row r="11" spans="1:13" s="131" customFormat="1" ht="19.5" customHeight="1" thickBot="1">
      <c r="A11" s="139" t="s">
        <v>145</v>
      </c>
      <c r="B11" s="958">
        <f>SUM(B8:C10)</f>
        <v>0</v>
      </c>
      <c r="C11" s="959"/>
      <c r="D11" s="958">
        <f>SUM(D8:E10)</f>
        <v>0</v>
      </c>
      <c r="E11" s="959"/>
      <c r="F11" s="958">
        <f>SUM(F8:G10)</f>
        <v>0</v>
      </c>
      <c r="G11" s="959"/>
      <c r="H11" s="958">
        <f>SUM(H8:I10)</f>
        <v>0</v>
      </c>
      <c r="I11" s="959"/>
      <c r="J11" s="958">
        <f>SUM(J8:K10)</f>
        <v>0</v>
      </c>
      <c r="K11" s="958"/>
      <c r="L11" s="971">
        <f>SUM(B11:K11)</f>
        <v>0</v>
      </c>
      <c r="M11" s="972"/>
    </row>
    <row r="12" spans="1:13" ht="15.6">
      <c r="B12" s="132"/>
      <c r="C12" s="132"/>
      <c r="D12" s="132"/>
      <c r="E12" s="132"/>
      <c r="F12" s="132"/>
      <c r="G12" s="132"/>
      <c r="H12" s="132"/>
      <c r="I12" s="132"/>
      <c r="J12" s="133"/>
      <c r="K12" s="133"/>
      <c r="L12" s="134"/>
    </row>
    <row r="13" spans="1:13" ht="16.8">
      <c r="A13" s="140" t="s">
        <v>0</v>
      </c>
      <c r="B13" s="141"/>
      <c r="C13" s="142"/>
      <c r="D13" s="142"/>
      <c r="E13" s="142"/>
      <c r="F13" s="142"/>
      <c r="G13" s="142"/>
      <c r="H13" s="142"/>
      <c r="I13" s="142"/>
      <c r="J13" s="142"/>
      <c r="K13" s="142"/>
      <c r="L13" s="142"/>
      <c r="M13" s="141"/>
    </row>
    <row r="14" spans="1:13" ht="21" customHeight="1">
      <c r="A14" s="154"/>
      <c r="B14" s="154"/>
      <c r="C14" s="154"/>
      <c r="D14" s="154"/>
      <c r="E14" s="154"/>
      <c r="F14" s="154"/>
      <c r="G14" s="154"/>
      <c r="H14" s="154"/>
      <c r="I14" s="154"/>
      <c r="J14" s="154"/>
      <c r="K14" s="154"/>
      <c r="L14" s="154"/>
      <c r="M14" s="155"/>
    </row>
    <row r="15" spans="1:13" ht="21.9" customHeight="1">
      <c r="A15" s="156"/>
      <c r="B15" s="155"/>
      <c r="C15" s="157"/>
      <c r="D15" s="157"/>
      <c r="E15" s="157"/>
      <c r="F15" s="157"/>
      <c r="G15" s="157"/>
      <c r="H15" s="157"/>
      <c r="I15" s="157"/>
      <c r="J15" s="157"/>
      <c r="K15" s="157"/>
      <c r="L15" s="154"/>
      <c r="M15" s="155"/>
    </row>
    <row r="16" spans="1:13" ht="21.9" customHeight="1">
      <c r="A16" s="156"/>
      <c r="B16" s="155"/>
      <c r="C16" s="157"/>
      <c r="D16" s="157"/>
      <c r="E16" s="157"/>
      <c r="F16" s="157"/>
      <c r="G16" s="157"/>
      <c r="H16" s="157"/>
      <c r="I16" s="157"/>
      <c r="J16" s="157"/>
      <c r="K16" s="157"/>
      <c r="L16" s="154"/>
      <c r="M16" s="155"/>
    </row>
    <row r="17" spans="1:13" ht="21.9" customHeight="1">
      <c r="A17" s="154"/>
      <c r="B17" s="155"/>
      <c r="C17" s="157"/>
      <c r="D17" s="157"/>
      <c r="E17" s="157"/>
      <c r="F17" s="157"/>
      <c r="G17" s="157"/>
      <c r="H17" s="157"/>
      <c r="I17" s="157"/>
      <c r="J17" s="157"/>
      <c r="K17" s="157"/>
      <c r="L17" s="154"/>
      <c r="M17" s="155"/>
    </row>
    <row r="18" spans="1:13" ht="21.9" customHeight="1">
      <c r="A18" s="158"/>
      <c r="B18" s="155"/>
      <c r="C18" s="157"/>
      <c r="D18" s="157"/>
      <c r="E18" s="157"/>
      <c r="F18" s="157"/>
      <c r="G18" s="157"/>
      <c r="H18" s="157"/>
      <c r="I18" s="157"/>
      <c r="J18" s="157"/>
      <c r="K18" s="157"/>
      <c r="L18" s="154"/>
      <c r="M18" s="155"/>
    </row>
    <row r="19" spans="1:13" ht="21.9" customHeight="1">
      <c r="A19" s="154"/>
      <c r="B19" s="155"/>
      <c r="C19" s="157"/>
      <c r="D19" s="157"/>
      <c r="E19" s="157"/>
      <c r="F19" s="157"/>
      <c r="G19" s="157"/>
      <c r="H19" s="157"/>
      <c r="I19" s="157"/>
      <c r="J19" s="157"/>
      <c r="K19" s="157"/>
      <c r="L19" s="154"/>
      <c r="M19" s="155"/>
    </row>
    <row r="20" spans="1:13" ht="21.9" customHeight="1">
      <c r="A20" s="154"/>
      <c r="B20" s="155"/>
      <c r="C20" s="157"/>
      <c r="D20" s="157"/>
      <c r="E20" s="157"/>
      <c r="F20" s="157"/>
      <c r="G20" s="157"/>
      <c r="H20" s="157"/>
      <c r="I20" s="157"/>
      <c r="J20" s="157"/>
      <c r="K20" s="157"/>
      <c r="L20" s="154"/>
      <c r="M20" s="155"/>
    </row>
    <row r="21" spans="1:13" ht="21.9" customHeight="1">
      <c r="A21" s="158"/>
      <c r="B21" s="155"/>
      <c r="C21" s="157"/>
      <c r="D21" s="157"/>
      <c r="E21" s="157"/>
      <c r="F21" s="157"/>
      <c r="G21" s="157"/>
      <c r="H21" s="157"/>
      <c r="I21" s="157"/>
      <c r="J21" s="157"/>
      <c r="K21" s="157"/>
      <c r="L21" s="154"/>
      <c r="M21" s="155"/>
    </row>
    <row r="22" spans="1:13" ht="21.9" customHeight="1">
      <c r="A22" s="158"/>
      <c r="B22" s="155"/>
      <c r="C22" s="157"/>
      <c r="D22" s="157"/>
      <c r="E22" s="157"/>
      <c r="F22" s="157"/>
      <c r="G22" s="157"/>
      <c r="H22" s="157"/>
      <c r="I22" s="157"/>
      <c r="J22" s="157"/>
      <c r="K22" s="157"/>
      <c r="L22" s="154"/>
      <c r="M22" s="155"/>
    </row>
    <row r="23" spans="1:13" ht="21.9" customHeight="1">
      <c r="A23" s="158"/>
      <c r="B23" s="155"/>
      <c r="C23" s="157"/>
      <c r="D23" s="157"/>
      <c r="E23" s="157"/>
      <c r="F23" s="157"/>
      <c r="G23" s="157"/>
      <c r="H23" s="157"/>
      <c r="I23" s="157"/>
      <c r="J23" s="157"/>
      <c r="K23" s="157"/>
      <c r="L23" s="154"/>
      <c r="M23" s="155"/>
    </row>
    <row r="24" spans="1:13" ht="21.9" customHeight="1">
      <c r="A24" s="158"/>
      <c r="B24" s="155"/>
      <c r="C24" s="154"/>
      <c r="D24" s="154"/>
      <c r="E24" s="154"/>
      <c r="F24" s="154"/>
      <c r="G24" s="154"/>
      <c r="H24" s="154"/>
      <c r="I24" s="157"/>
      <c r="J24" s="157"/>
      <c r="K24" s="157"/>
      <c r="L24" s="154"/>
      <c r="M24" s="155"/>
    </row>
    <row r="25" spans="1:13" ht="21.9" customHeight="1">
      <c r="A25" s="158"/>
      <c r="B25" s="155"/>
      <c r="C25" s="154"/>
      <c r="D25" s="154"/>
      <c r="E25" s="154"/>
      <c r="F25" s="154"/>
      <c r="G25" s="154"/>
      <c r="H25" s="154"/>
      <c r="I25" s="157"/>
      <c r="J25" s="157"/>
      <c r="K25" s="157"/>
      <c r="L25" s="154"/>
      <c r="M25" s="155"/>
    </row>
    <row r="26" spans="1:13" ht="21.9" customHeight="1">
      <c r="A26" s="154"/>
      <c r="B26" s="155"/>
      <c r="C26" s="154"/>
      <c r="D26" s="154"/>
      <c r="E26" s="154"/>
      <c r="F26" s="154"/>
      <c r="G26" s="154"/>
      <c r="H26" s="154"/>
      <c r="I26" s="157"/>
      <c r="J26" s="157"/>
      <c r="K26" s="157"/>
      <c r="L26" s="154"/>
      <c r="M26" s="155"/>
    </row>
    <row r="27" spans="1:13" ht="21.9" customHeight="1">
      <c r="A27" s="158"/>
      <c r="B27" s="155"/>
      <c r="C27" s="154"/>
      <c r="D27" s="154"/>
      <c r="E27" s="154"/>
      <c r="F27" s="154"/>
      <c r="G27" s="154"/>
      <c r="H27" s="154"/>
      <c r="I27" s="157"/>
      <c r="J27" s="157"/>
      <c r="K27" s="157"/>
      <c r="L27" s="154"/>
      <c r="M27" s="155"/>
    </row>
    <row r="28" spans="1:13" ht="21.9" customHeight="1">
      <c r="A28" s="158"/>
      <c r="B28" s="155"/>
      <c r="C28" s="154"/>
      <c r="D28" s="154"/>
      <c r="E28" s="154"/>
      <c r="F28" s="154"/>
      <c r="G28" s="154"/>
      <c r="H28" s="154"/>
      <c r="I28" s="157"/>
      <c r="J28" s="157"/>
      <c r="K28" s="157"/>
      <c r="L28" s="154"/>
      <c r="M28" s="155"/>
    </row>
    <row r="29" spans="1:13" ht="21.9" customHeight="1">
      <c r="A29" s="158"/>
      <c r="B29" s="155"/>
      <c r="C29" s="154"/>
      <c r="D29" s="154"/>
      <c r="E29" s="154"/>
      <c r="F29" s="154"/>
      <c r="G29" s="154"/>
      <c r="H29" s="154"/>
      <c r="I29" s="157"/>
      <c r="J29" s="157"/>
      <c r="K29" s="157"/>
      <c r="L29" s="154"/>
      <c r="M29" s="155"/>
    </row>
    <row r="30" spans="1:13" ht="21.9" customHeight="1">
      <c r="A30" s="158"/>
      <c r="B30" s="155"/>
      <c r="C30" s="154"/>
      <c r="D30" s="159"/>
      <c r="E30" s="154"/>
      <c r="F30" s="154"/>
      <c r="G30" s="154"/>
      <c r="H30" s="154"/>
      <c r="I30" s="157"/>
      <c r="J30" s="157"/>
      <c r="K30" s="157"/>
      <c r="L30" s="154"/>
      <c r="M30" s="155"/>
    </row>
    <row r="31" spans="1:13" ht="21.9" customHeight="1">
      <c r="A31" s="158"/>
      <c r="B31" s="155"/>
      <c r="C31" s="154"/>
      <c r="D31" s="154"/>
      <c r="E31" s="154"/>
      <c r="F31" s="154"/>
      <c r="G31" s="154"/>
      <c r="H31" s="154"/>
      <c r="I31" s="154"/>
      <c r="J31" s="154"/>
      <c r="K31" s="154"/>
      <c r="L31" s="154"/>
      <c r="M31" s="155"/>
    </row>
    <row r="32" spans="1:13" ht="21.9" customHeight="1">
      <c r="A32" s="158"/>
      <c r="B32" s="155"/>
      <c r="C32" s="154"/>
      <c r="D32" s="154"/>
      <c r="E32" s="154"/>
      <c r="F32" s="154"/>
      <c r="G32" s="154"/>
      <c r="H32" s="154"/>
      <c r="I32" s="154"/>
      <c r="J32" s="154"/>
      <c r="K32" s="154"/>
      <c r="L32" s="154"/>
      <c r="M32" s="155"/>
    </row>
    <row r="33" spans="1:13" ht="21.9" customHeight="1">
      <c r="A33" s="158"/>
      <c r="B33" s="155"/>
      <c r="C33" s="154"/>
      <c r="D33" s="154"/>
      <c r="E33" s="154"/>
      <c r="F33" s="154"/>
      <c r="G33" s="154"/>
      <c r="H33" s="154"/>
      <c r="I33" s="154"/>
      <c r="J33" s="154"/>
      <c r="K33" s="154"/>
      <c r="L33" s="154"/>
      <c r="M33" s="155"/>
    </row>
    <row r="34" spans="1:13">
      <c r="A34" s="158"/>
      <c r="B34" s="155"/>
      <c r="C34" s="154"/>
      <c r="D34" s="154"/>
      <c r="E34" s="154"/>
      <c r="F34" s="154"/>
      <c r="G34" s="154"/>
      <c r="H34" s="154"/>
      <c r="I34" s="154"/>
      <c r="J34" s="154"/>
      <c r="K34" s="154"/>
      <c r="L34" s="154"/>
      <c r="M34" s="155"/>
    </row>
    <row r="35" spans="1:13" ht="16.8">
      <c r="A35" s="143" t="s">
        <v>148</v>
      </c>
      <c r="B35" s="141"/>
      <c r="C35" s="142"/>
      <c r="D35" s="142"/>
      <c r="E35" s="142"/>
      <c r="F35" s="142"/>
      <c r="G35" s="142"/>
      <c r="H35" s="142"/>
      <c r="I35" s="142"/>
      <c r="J35" s="142"/>
      <c r="K35" s="142"/>
      <c r="L35" s="142"/>
      <c r="M35" s="141"/>
    </row>
    <row r="36" spans="1:13">
      <c r="A36" s="158"/>
      <c r="B36" s="155"/>
      <c r="C36" s="154"/>
      <c r="D36" s="154"/>
      <c r="E36" s="154"/>
      <c r="F36" s="154"/>
      <c r="G36" s="154"/>
      <c r="H36" s="154"/>
      <c r="I36" s="154"/>
      <c r="J36" s="154"/>
      <c r="K36" s="154"/>
      <c r="L36" s="154"/>
      <c r="M36" s="155"/>
    </row>
    <row r="37" spans="1:13">
      <c r="A37" s="158"/>
      <c r="B37" s="155"/>
      <c r="C37" s="154"/>
      <c r="D37" s="154"/>
      <c r="E37" s="154"/>
      <c r="F37" s="154"/>
      <c r="G37" s="154"/>
      <c r="H37" s="154"/>
      <c r="I37" s="154"/>
      <c r="J37" s="154"/>
      <c r="K37" s="154"/>
      <c r="L37" s="154"/>
      <c r="M37" s="155"/>
    </row>
    <row r="38" spans="1:13">
      <c r="A38" s="158"/>
      <c r="B38" s="155"/>
      <c r="C38" s="154"/>
      <c r="D38" s="154"/>
      <c r="E38" s="154"/>
      <c r="F38" s="154"/>
      <c r="G38" s="154"/>
      <c r="H38" s="154"/>
      <c r="I38" s="154"/>
      <c r="J38" s="154"/>
      <c r="K38" s="154"/>
      <c r="L38" s="154"/>
      <c r="M38" s="155"/>
    </row>
    <row r="39" spans="1:13">
      <c r="A39" s="158"/>
      <c r="B39" s="155"/>
      <c r="C39" s="154"/>
      <c r="D39" s="154"/>
      <c r="E39" s="154"/>
      <c r="F39" s="154"/>
      <c r="G39" s="154"/>
      <c r="H39" s="154"/>
      <c r="I39" s="154"/>
      <c r="J39" s="154"/>
      <c r="K39" s="154"/>
      <c r="L39" s="154"/>
      <c r="M39" s="155"/>
    </row>
    <row r="40" spans="1:13">
      <c r="A40" s="158"/>
      <c r="B40" s="155"/>
      <c r="C40" s="154"/>
      <c r="D40" s="154"/>
      <c r="E40" s="154"/>
      <c r="F40" s="154"/>
      <c r="G40" s="154"/>
      <c r="H40" s="154"/>
      <c r="I40" s="154"/>
      <c r="J40" s="154"/>
      <c r="K40" s="154"/>
      <c r="L40" s="154"/>
      <c r="M40" s="155"/>
    </row>
    <row r="41" spans="1:13">
      <c r="A41" s="158"/>
      <c r="B41" s="155"/>
      <c r="C41" s="154"/>
      <c r="D41" s="154"/>
      <c r="E41" s="154"/>
      <c r="F41" s="154"/>
      <c r="G41" s="154"/>
      <c r="H41" s="154"/>
      <c r="I41" s="154"/>
      <c r="J41" s="154"/>
      <c r="K41" s="154"/>
      <c r="L41" s="154"/>
      <c r="M41" s="155"/>
    </row>
    <row r="42" spans="1:13">
      <c r="A42" s="158"/>
      <c r="B42" s="155"/>
      <c r="C42" s="154"/>
      <c r="D42" s="154"/>
      <c r="E42" s="154"/>
      <c r="F42" s="154"/>
      <c r="G42" s="154"/>
      <c r="H42" s="154"/>
      <c r="I42" s="154"/>
      <c r="J42" s="154"/>
      <c r="K42" s="154"/>
      <c r="L42" s="154"/>
      <c r="M42" s="155"/>
    </row>
    <row r="43" spans="1:13">
      <c r="A43" s="158"/>
      <c r="B43" s="155"/>
      <c r="C43" s="154"/>
      <c r="D43" s="154"/>
      <c r="E43" s="154"/>
      <c r="F43" s="154"/>
      <c r="G43" s="154"/>
      <c r="H43" s="154"/>
      <c r="I43" s="154"/>
      <c r="J43" s="154"/>
      <c r="K43" s="154"/>
      <c r="L43" s="154"/>
      <c r="M43" s="155"/>
    </row>
    <row r="44" spans="1:13">
      <c r="A44" s="158"/>
      <c r="B44" s="155"/>
      <c r="C44" s="154"/>
      <c r="D44" s="154"/>
      <c r="E44" s="154"/>
      <c r="F44" s="154"/>
      <c r="G44" s="154"/>
      <c r="H44" s="154"/>
      <c r="I44" s="154"/>
      <c r="J44" s="154"/>
      <c r="K44" s="154"/>
      <c r="L44" s="154"/>
      <c r="M44" s="155"/>
    </row>
    <row r="45" spans="1:13">
      <c r="A45" s="158"/>
      <c r="B45" s="155"/>
      <c r="C45" s="154"/>
      <c r="D45" s="154"/>
      <c r="E45" s="154"/>
      <c r="F45" s="154"/>
      <c r="G45" s="154"/>
      <c r="H45" s="154"/>
      <c r="I45" s="154"/>
      <c r="J45" s="154"/>
      <c r="K45" s="154"/>
      <c r="L45" s="154"/>
      <c r="M45" s="155"/>
    </row>
    <row r="46" spans="1:13">
      <c r="A46" s="158"/>
      <c r="B46" s="155"/>
      <c r="C46" s="154"/>
      <c r="D46" s="154"/>
      <c r="E46" s="154"/>
      <c r="F46" s="154"/>
      <c r="G46" s="154"/>
      <c r="H46" s="154"/>
      <c r="I46" s="154"/>
      <c r="J46" s="154"/>
      <c r="K46" s="154"/>
      <c r="L46" s="154"/>
      <c r="M46" s="155"/>
    </row>
    <row r="47" spans="1:13">
      <c r="A47" s="158"/>
      <c r="B47" s="155"/>
      <c r="C47" s="154"/>
      <c r="D47" s="154"/>
      <c r="E47" s="154"/>
      <c r="F47" s="154"/>
      <c r="G47" s="154"/>
      <c r="H47" s="154"/>
      <c r="I47" s="154"/>
      <c r="J47" s="154"/>
      <c r="K47" s="154"/>
      <c r="L47" s="154"/>
      <c r="M47" s="155"/>
    </row>
    <row r="48" spans="1:13">
      <c r="A48" s="158"/>
      <c r="B48" s="155"/>
      <c r="C48" s="154"/>
      <c r="D48" s="154"/>
      <c r="E48" s="154"/>
      <c r="F48" s="154"/>
      <c r="G48" s="154"/>
      <c r="H48" s="154"/>
      <c r="I48" s="154"/>
      <c r="J48" s="154"/>
      <c r="K48" s="154"/>
      <c r="L48" s="154"/>
      <c r="M48" s="155"/>
    </row>
    <row r="49" spans="1:13">
      <c r="A49" s="158"/>
      <c r="B49" s="155"/>
      <c r="C49" s="154"/>
      <c r="D49" s="154"/>
      <c r="E49" s="154"/>
      <c r="F49" s="154"/>
      <c r="G49" s="154"/>
      <c r="H49" s="154"/>
      <c r="I49" s="154"/>
      <c r="J49" s="154"/>
      <c r="K49" s="154"/>
      <c r="L49" s="154"/>
      <c r="M49" s="155"/>
    </row>
    <row r="50" spans="1:13">
      <c r="A50" s="158"/>
      <c r="B50" s="155"/>
      <c r="C50" s="154"/>
      <c r="D50" s="154"/>
      <c r="E50" s="154"/>
      <c r="F50" s="154"/>
      <c r="G50" s="154"/>
      <c r="H50" s="154"/>
      <c r="I50" s="154"/>
      <c r="J50" s="154"/>
      <c r="K50" s="154"/>
      <c r="L50" s="154"/>
      <c r="M50" s="155"/>
    </row>
    <row r="51" spans="1:13" ht="16.8">
      <c r="A51" s="143" t="s">
        <v>85</v>
      </c>
      <c r="B51" s="141"/>
      <c r="C51" s="142"/>
      <c r="D51" s="142"/>
      <c r="E51" s="142"/>
      <c r="F51" s="142"/>
      <c r="G51" s="142"/>
      <c r="H51" s="142"/>
      <c r="I51" s="142"/>
      <c r="J51" s="142"/>
      <c r="K51" s="142"/>
      <c r="L51" s="142"/>
      <c r="M51" s="141"/>
    </row>
    <row r="52" spans="1:13">
      <c r="A52" s="158"/>
      <c r="B52" s="155"/>
      <c r="C52" s="154"/>
      <c r="D52" s="154"/>
      <c r="E52" s="154"/>
      <c r="F52" s="154"/>
      <c r="G52" s="154"/>
      <c r="H52" s="154"/>
      <c r="I52" s="154"/>
      <c r="J52" s="154"/>
      <c r="K52" s="154"/>
      <c r="L52" s="154"/>
      <c r="M52" s="155"/>
    </row>
    <row r="53" spans="1:13">
      <c r="A53" s="158"/>
      <c r="B53" s="155"/>
      <c r="C53" s="154"/>
      <c r="D53" s="154"/>
      <c r="E53" s="154"/>
      <c r="F53" s="154"/>
      <c r="G53" s="154"/>
      <c r="H53" s="154"/>
      <c r="I53" s="154"/>
      <c r="J53" s="154"/>
      <c r="K53" s="154"/>
      <c r="L53" s="154"/>
      <c r="M53" s="155"/>
    </row>
    <row r="54" spans="1:13">
      <c r="A54" s="158"/>
      <c r="B54" s="155"/>
      <c r="C54" s="154"/>
      <c r="D54" s="154"/>
      <c r="E54" s="154"/>
      <c r="F54" s="154"/>
      <c r="G54" s="154"/>
      <c r="H54" s="154"/>
      <c r="I54" s="154"/>
      <c r="J54" s="154"/>
      <c r="K54" s="154"/>
      <c r="L54" s="154"/>
      <c r="M54" s="155"/>
    </row>
    <row r="55" spans="1:13">
      <c r="A55" s="158"/>
      <c r="B55" s="155"/>
      <c r="C55" s="154"/>
      <c r="D55" s="154"/>
      <c r="E55" s="154"/>
      <c r="F55" s="154"/>
      <c r="G55" s="154"/>
      <c r="H55" s="154"/>
      <c r="I55" s="154"/>
      <c r="J55" s="154"/>
      <c r="K55" s="154"/>
      <c r="L55" s="154"/>
      <c r="M55" s="155"/>
    </row>
    <row r="56" spans="1:13">
      <c r="A56" s="160"/>
      <c r="B56" s="153"/>
      <c r="C56" s="153"/>
      <c r="D56" s="153"/>
      <c r="E56" s="153"/>
      <c r="F56" s="153"/>
      <c r="G56" s="153"/>
      <c r="H56" s="153"/>
      <c r="I56" s="155"/>
      <c r="J56" s="155"/>
      <c r="K56" s="155"/>
      <c r="L56" s="154"/>
      <c r="M56" s="155"/>
    </row>
    <row r="57" spans="1:13">
      <c r="A57" s="135" t="s">
        <v>165</v>
      </c>
      <c r="B57" s="129"/>
      <c r="F57" s="127" t="s">
        <v>58</v>
      </c>
      <c r="G57" s="136"/>
      <c r="I57" s="970" t="s">
        <v>84</v>
      </c>
      <c r="J57" s="970"/>
      <c r="K57" s="970"/>
      <c r="L57" s="970"/>
      <c r="M57" s="970"/>
    </row>
    <row r="58" spans="1:13">
      <c r="A58" s="135"/>
      <c r="B58" s="129"/>
    </row>
    <row r="59" spans="1:13">
      <c r="A59" s="128"/>
      <c r="B59" s="129"/>
    </row>
    <row r="60" spans="1:13">
      <c r="A60" s="128"/>
      <c r="B60" s="129"/>
    </row>
  </sheetData>
  <mergeCells count="36">
    <mergeCell ref="I57:M57"/>
    <mergeCell ref="D7:E7"/>
    <mergeCell ref="F7:G7"/>
    <mergeCell ref="H7:I7"/>
    <mergeCell ref="L11:M11"/>
    <mergeCell ref="F10:G10"/>
    <mergeCell ref="H10:I10"/>
    <mergeCell ref="F9:G9"/>
    <mergeCell ref="H9:I9"/>
    <mergeCell ref="J9:K9"/>
    <mergeCell ref="I2:K2"/>
    <mergeCell ref="D11:E11"/>
    <mergeCell ref="H11:I11"/>
    <mergeCell ref="F11:G11"/>
    <mergeCell ref="J7:K7"/>
    <mergeCell ref="J11:K11"/>
    <mergeCell ref="B2:H2"/>
    <mergeCell ref="B7:C7"/>
    <mergeCell ref="B11:C11"/>
    <mergeCell ref="A4:M4"/>
    <mergeCell ref="A8:A9"/>
    <mergeCell ref="B8:C8"/>
    <mergeCell ref="D8:E8"/>
    <mergeCell ref="J8:K8"/>
    <mergeCell ref="B9:C9"/>
    <mergeCell ref="D9:E9"/>
    <mergeCell ref="A5:M6"/>
    <mergeCell ref="J10:K10"/>
    <mergeCell ref="L9:M9"/>
    <mergeCell ref="L7:M7"/>
    <mergeCell ref="L8:M8"/>
    <mergeCell ref="L10:M10"/>
    <mergeCell ref="F8:G8"/>
    <mergeCell ref="H8:I8"/>
    <mergeCell ref="B10:C10"/>
    <mergeCell ref="D10:E10"/>
  </mergeCells>
  <phoneticPr fontId="25" type="noConversion"/>
  <pageMargins left="0.45" right="0.32" top="0.45" bottom="0.33" header="0.83" footer="0.24"/>
  <pageSetup scale="65"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65"/>
  <sheetViews>
    <sheetView showGridLines="0" zoomScale="85" zoomScaleNormal="80" zoomScaleSheetLayoutView="85" workbookViewId="0">
      <selection activeCell="P28" sqref="P28"/>
    </sheetView>
  </sheetViews>
  <sheetFormatPr defaultColWidth="10.33203125" defaultRowHeight="10.199999999999999"/>
  <cols>
    <col min="1" max="1" width="4.88671875" style="75" customWidth="1"/>
    <col min="2" max="2" width="2.33203125" style="75" customWidth="1"/>
    <col min="3" max="3" width="3.109375" style="75" customWidth="1"/>
    <col min="4" max="4" width="2.33203125" style="75" customWidth="1"/>
    <col min="5" max="5" width="17.5546875" style="75" customWidth="1"/>
    <col min="6" max="6" width="12.44140625" style="75" customWidth="1"/>
    <col min="7" max="8" width="9.6640625" style="75" customWidth="1"/>
    <col min="9" max="13" width="13.44140625" style="75" customWidth="1"/>
    <col min="14" max="14" width="1.44140625" style="75" customWidth="1"/>
    <col min="15" max="16" width="13.44140625" style="75" customWidth="1"/>
    <col min="17" max="17" width="12.5546875" style="75" customWidth="1"/>
    <col min="18" max="18" width="1.44140625" style="75" customWidth="1"/>
    <col min="19" max="19" width="4.88671875" style="75" customWidth="1"/>
    <col min="20" max="20" width="2.33203125" style="75" customWidth="1"/>
    <col min="21" max="21" width="3.109375" style="75" customWidth="1"/>
    <col min="22" max="22" width="2.33203125" style="75" customWidth="1"/>
    <col min="23" max="23" width="13.44140625" style="75" customWidth="1"/>
    <col min="24" max="24" width="10" style="75" customWidth="1"/>
    <col min="25" max="25" width="13.44140625" style="75" customWidth="1"/>
    <col min="26" max="26" width="12.5546875" style="75" customWidth="1"/>
    <col min="27" max="29" width="5.6640625" style="75" customWidth="1"/>
    <col min="30" max="31" width="13.44140625" style="75" customWidth="1"/>
    <col min="32" max="32" width="12.5546875" style="75" customWidth="1"/>
    <col min="33" max="33" width="1.44140625" style="75" customWidth="1"/>
    <col min="34" max="34" width="4.88671875" style="75" customWidth="1"/>
    <col min="35" max="35" width="2.33203125" style="75" customWidth="1"/>
    <col min="36" max="36" width="3.109375" style="75" customWidth="1"/>
    <col min="37" max="37" width="2.33203125" style="75" customWidth="1"/>
    <col min="38" max="38" width="13.44140625" style="75" customWidth="1"/>
    <col min="39" max="39" width="10" style="75" customWidth="1"/>
    <col min="40" max="40" width="13.44140625" style="75" customWidth="1"/>
    <col min="41" max="41" width="12.5546875" style="75" customWidth="1"/>
    <col min="42" max="44" width="5.6640625" style="75" customWidth="1"/>
    <col min="45" max="46" width="13.44140625" style="75" customWidth="1"/>
    <col min="47" max="47" width="12.5546875" style="75" customWidth="1"/>
    <col min="48" max="48" width="1.44140625" style="75" customWidth="1"/>
    <col min="49" max="49" width="4.88671875" style="75" customWidth="1"/>
    <col min="50" max="50" width="2.33203125" style="75" customWidth="1"/>
    <col min="51" max="51" width="3.109375" style="75" customWidth="1"/>
    <col min="52" max="52" width="2.33203125" style="75" customWidth="1"/>
    <col min="53" max="53" width="13.44140625" style="75" customWidth="1"/>
    <col min="54" max="54" width="10" style="75" customWidth="1"/>
    <col min="55" max="55" width="13.44140625" style="75" customWidth="1"/>
    <col min="56" max="56" width="12.5546875" style="75" customWidth="1"/>
    <col min="57" max="59" width="5.6640625" style="75" customWidth="1"/>
    <col min="60" max="61" width="13.44140625" style="75" customWidth="1"/>
    <col min="62" max="62" width="12.5546875" style="75" customWidth="1"/>
    <col min="63" max="63" width="1.44140625" style="75" customWidth="1"/>
    <col min="64" max="64" width="4.88671875" style="75" customWidth="1"/>
    <col min="65" max="65" width="2.33203125" style="75" customWidth="1"/>
    <col min="66" max="66" width="3.109375" style="75" customWidth="1"/>
    <col min="67" max="67" width="2.33203125" style="75" customWidth="1"/>
    <col min="68" max="68" width="13.44140625" style="75" customWidth="1"/>
    <col min="69" max="69" width="10" style="75" customWidth="1"/>
    <col min="70" max="70" width="13.44140625" style="75" customWidth="1"/>
    <col min="71" max="71" width="12.5546875" style="75" customWidth="1"/>
    <col min="72" max="74" width="5.6640625" style="75" customWidth="1"/>
    <col min="75" max="76" width="13.44140625" style="75" customWidth="1"/>
    <col min="77" max="77" width="12.5546875" style="75" customWidth="1"/>
    <col min="78" max="78" width="1.44140625" style="75" customWidth="1"/>
    <col min="79" max="16384" width="10.33203125" style="75"/>
  </cols>
  <sheetData>
    <row r="1" spans="1:13" ht="12" customHeight="1" thickTop="1">
      <c r="A1" s="113"/>
      <c r="B1" s="113"/>
      <c r="C1" s="113"/>
      <c r="D1" s="113"/>
      <c r="E1" s="113"/>
      <c r="F1" s="113"/>
      <c r="G1" s="113"/>
      <c r="H1" s="113"/>
      <c r="I1" s="113"/>
      <c r="J1" s="444"/>
      <c r="K1" s="113"/>
      <c r="L1" s="113"/>
      <c r="M1" s="74"/>
    </row>
    <row r="2" spans="1:13" ht="17.25" customHeight="1">
      <c r="A2" t="s">
        <v>94</v>
      </c>
      <c r="B2" s="999"/>
      <c r="C2" s="999"/>
      <c r="D2" s="999"/>
      <c r="E2" s="999"/>
      <c r="F2" s="999"/>
      <c r="G2" s="999"/>
      <c r="H2" s="999"/>
      <c r="I2"/>
      <c r="J2" s="445"/>
      <c r="K2"/>
      <c r="L2"/>
    </row>
    <row r="3" spans="1:13" ht="31.5" customHeight="1" thickBot="1">
      <c r="A3" s="97"/>
      <c r="B3" s="97"/>
      <c r="C3" s="97"/>
      <c r="D3" s="97"/>
      <c r="E3" s="1000" t="s">
        <v>154</v>
      </c>
      <c r="F3" s="1000"/>
      <c r="G3" s="1000"/>
      <c r="H3" s="1000"/>
      <c r="I3" s="1000"/>
      <c r="J3" s="446"/>
      <c r="K3" s="985" t="str">
        <f>+'Base Budget'!C38</f>
        <v>PI name</v>
      </c>
      <c r="L3" s="985"/>
      <c r="M3" s="985"/>
    </row>
    <row r="4" spans="1:13" ht="13.2">
      <c r="A4" s="92"/>
      <c r="B4" s="92"/>
      <c r="C4" s="92"/>
      <c r="D4" s="92"/>
      <c r="E4" s="144" t="s">
        <v>95</v>
      </c>
      <c r="F4" s="92"/>
      <c r="G4" s="92"/>
      <c r="H4" s="92"/>
      <c r="I4" s="92"/>
      <c r="J4" s="92"/>
      <c r="K4" s="145" t="s">
        <v>96</v>
      </c>
      <c r="L4" s="145" t="s">
        <v>97</v>
      </c>
      <c r="M4" s="975"/>
    </row>
    <row r="5" spans="1:13" ht="13.2">
      <c r="A5" s="98"/>
      <c r="B5" s="98"/>
      <c r="C5" s="98"/>
      <c r="D5" s="98"/>
      <c r="E5" s="98"/>
      <c r="F5" s="115" t="s">
        <v>98</v>
      </c>
      <c r="G5" s="98"/>
      <c r="H5" s="98"/>
      <c r="I5" s="98"/>
      <c r="J5" s="98"/>
      <c r="K5" s="1001"/>
      <c r="L5" s="997"/>
      <c r="M5" s="976"/>
    </row>
    <row r="6" spans="1:13">
      <c r="A6" s="108"/>
      <c r="B6" s="108"/>
      <c r="C6" s="108"/>
      <c r="D6" s="108"/>
      <c r="E6" s="108"/>
      <c r="F6" s="108"/>
      <c r="G6" s="108"/>
      <c r="H6" s="108"/>
      <c r="I6" s="108"/>
      <c r="J6" s="108"/>
      <c r="K6" s="1002"/>
      <c r="L6" s="998"/>
      <c r="M6" s="977"/>
    </row>
    <row r="7" spans="1:13">
      <c r="A7" s="77" t="s">
        <v>115</v>
      </c>
      <c r="B7" s="77"/>
      <c r="C7" s="77"/>
      <c r="D7" s="77"/>
      <c r="E7" s="77"/>
      <c r="F7" s="98"/>
      <c r="G7" s="77"/>
      <c r="H7" s="77"/>
      <c r="I7" s="77"/>
      <c r="J7" s="98"/>
      <c r="K7" s="449"/>
      <c r="L7" s="449"/>
      <c r="M7" s="449"/>
    </row>
    <row r="8" spans="1:13">
      <c r="A8" s="98" t="s">
        <v>250</v>
      </c>
      <c r="B8" s="98"/>
      <c r="C8" s="98"/>
      <c r="D8" s="98"/>
      <c r="E8" s="98"/>
      <c r="F8" s="98"/>
      <c r="G8" s="98"/>
      <c r="H8" s="98"/>
      <c r="I8" s="98"/>
      <c r="J8" s="98"/>
      <c r="K8" s="449"/>
      <c r="L8" s="449"/>
      <c r="M8" s="449"/>
    </row>
    <row r="9" spans="1:13">
      <c r="A9" s="98" t="s">
        <v>251</v>
      </c>
      <c r="B9" s="98"/>
      <c r="C9" s="98"/>
      <c r="D9" s="98"/>
      <c r="E9" s="98"/>
      <c r="F9" s="98"/>
      <c r="G9" s="108"/>
      <c r="H9" s="108"/>
      <c r="I9" s="108"/>
      <c r="J9" s="108"/>
      <c r="K9" s="450"/>
      <c r="L9" s="450"/>
      <c r="M9" s="450"/>
    </row>
    <row r="10" spans="1:13">
      <c r="F10" s="82" t="s">
        <v>99</v>
      </c>
      <c r="G10" s="82" t="s">
        <v>166</v>
      </c>
      <c r="H10" s="82" t="s">
        <v>168</v>
      </c>
      <c r="I10" s="82" t="s">
        <v>170</v>
      </c>
      <c r="J10" s="82" t="s">
        <v>252</v>
      </c>
      <c r="K10" s="82" t="s">
        <v>100</v>
      </c>
      <c r="L10" s="82" t="s">
        <v>101</v>
      </c>
      <c r="M10" s="82"/>
    </row>
    <row r="11" spans="1:13">
      <c r="D11" s="75" t="s">
        <v>102</v>
      </c>
      <c r="F11" s="82" t="s">
        <v>103</v>
      </c>
      <c r="G11" s="82" t="s">
        <v>167</v>
      </c>
      <c r="H11" s="82" t="s">
        <v>169</v>
      </c>
      <c r="I11" s="82" t="s">
        <v>169</v>
      </c>
      <c r="J11" s="82"/>
      <c r="K11" s="82" t="s">
        <v>104</v>
      </c>
      <c r="L11" s="82" t="s">
        <v>105</v>
      </c>
      <c r="M11" s="82" t="s">
        <v>106</v>
      </c>
    </row>
    <row r="12" spans="1:13" ht="19.5" customHeight="1">
      <c r="A12" s="83"/>
      <c r="B12" s="83"/>
      <c r="C12" s="83"/>
      <c r="D12" s="83"/>
      <c r="E12" s="83"/>
      <c r="F12" s="982" t="s">
        <v>160</v>
      </c>
      <c r="G12" s="973"/>
      <c r="H12" s="973"/>
      <c r="I12" s="973"/>
      <c r="J12" s="451"/>
      <c r="K12" s="84"/>
      <c r="L12" s="84"/>
      <c r="M12" s="84"/>
    </row>
    <row r="13" spans="1:13" ht="13.2">
      <c r="A13" s="986" t="str">
        <f>VLOOKUP(1,'Base Budget'!$A$38:C93,3,FALSE)</f>
        <v>PI name</v>
      </c>
      <c r="B13" s="986"/>
      <c r="C13" s="986"/>
      <c r="D13" s="986"/>
      <c r="E13" s="987"/>
      <c r="F13" s="983"/>
      <c r="G13" s="974"/>
      <c r="H13" s="974"/>
      <c r="I13" s="974"/>
      <c r="J13" s="452"/>
      <c r="K13" s="85"/>
      <c r="L13" s="85"/>
      <c r="M13" s="85"/>
    </row>
    <row r="14" spans="1:13" ht="13.2">
      <c r="A14" s="83"/>
      <c r="B14" s="83"/>
      <c r="C14" s="83"/>
      <c r="D14" s="83"/>
      <c r="E14" s="83"/>
      <c r="F14" s="982"/>
      <c r="G14" s="973"/>
      <c r="H14" s="973"/>
      <c r="I14" s="973"/>
      <c r="J14" s="451"/>
      <c r="K14" s="84"/>
      <c r="L14" s="84"/>
      <c r="M14" s="84"/>
    </row>
    <row r="15" spans="1:13" ht="21" customHeight="1">
      <c r="A15" s="986" t="e">
        <f>VLOOKUP(2,'Base Budget'!A38:C93,3,FALSE)</f>
        <v>#N/A</v>
      </c>
      <c r="B15" s="986"/>
      <c r="C15" s="986"/>
      <c r="D15" s="986"/>
      <c r="E15" s="987"/>
      <c r="F15" s="983"/>
      <c r="G15" s="974"/>
      <c r="H15" s="974"/>
      <c r="I15" s="974"/>
      <c r="J15" s="452"/>
      <c r="K15" s="85"/>
      <c r="L15" s="85"/>
      <c r="M15" s="85"/>
    </row>
    <row r="16" spans="1:13" ht="13.2">
      <c r="A16" s="83"/>
      <c r="B16" s="83"/>
      <c r="C16" s="83"/>
      <c r="D16" s="83"/>
      <c r="E16" s="83"/>
      <c r="F16" s="982"/>
      <c r="G16" s="973"/>
      <c r="H16" s="973"/>
      <c r="I16" s="973"/>
      <c r="J16" s="451"/>
      <c r="K16" s="84"/>
      <c r="L16" s="84"/>
      <c r="M16" s="84"/>
    </row>
    <row r="17" spans="1:13" ht="13.2">
      <c r="A17" s="986" t="e">
        <f>VLOOKUP(3,'Base Budget'!A38:C93,3,FALSE)</f>
        <v>#N/A</v>
      </c>
      <c r="B17" s="986"/>
      <c r="C17" s="986"/>
      <c r="D17" s="986"/>
      <c r="E17" s="987"/>
      <c r="F17" s="983"/>
      <c r="G17" s="974"/>
      <c r="H17" s="974"/>
      <c r="I17" s="974"/>
      <c r="J17" s="452"/>
      <c r="K17" s="85"/>
      <c r="L17" s="85"/>
      <c r="M17" s="85"/>
    </row>
    <row r="18" spans="1:13" ht="13.2">
      <c r="A18" s="83"/>
      <c r="B18" s="83"/>
      <c r="C18" s="83"/>
      <c r="D18" s="83"/>
      <c r="E18" s="83"/>
      <c r="F18" s="982"/>
      <c r="G18" s="973"/>
      <c r="H18" s="973"/>
      <c r="I18" s="973"/>
      <c r="J18" s="451"/>
      <c r="K18" s="84"/>
      <c r="L18" s="84"/>
      <c r="M18" s="84"/>
    </row>
    <row r="19" spans="1:13" ht="13.2">
      <c r="A19" s="986" t="e">
        <f>VLOOKUP(4,'Base Budget'!A38:C93,3,FALSE)</f>
        <v>#N/A</v>
      </c>
      <c r="B19" s="986"/>
      <c r="C19" s="986"/>
      <c r="D19" s="986"/>
      <c r="E19" s="987"/>
      <c r="F19" s="983"/>
      <c r="G19" s="974"/>
      <c r="H19" s="974"/>
      <c r="I19" s="974"/>
      <c r="J19" s="452"/>
      <c r="K19" s="85"/>
      <c r="L19" s="85"/>
      <c r="M19" s="85"/>
    </row>
    <row r="20" spans="1:13" ht="13.2">
      <c r="A20" s="83"/>
      <c r="B20" s="83"/>
      <c r="C20" s="83"/>
      <c r="D20" s="83"/>
      <c r="E20" s="83"/>
      <c r="F20" s="982"/>
      <c r="G20" s="973"/>
      <c r="H20" s="973"/>
      <c r="I20" s="973"/>
      <c r="J20" s="451"/>
      <c r="K20" s="84"/>
      <c r="L20" s="84"/>
      <c r="M20" s="84"/>
    </row>
    <row r="21" spans="1:13" ht="13.2">
      <c r="A21" s="986" t="e">
        <f>VLOOKUP(5,'Base Budget'!A38:C93,3,FALSE)</f>
        <v>#N/A</v>
      </c>
      <c r="B21" s="986"/>
      <c r="C21" s="986"/>
      <c r="D21" s="986"/>
      <c r="E21" s="987"/>
      <c r="F21" s="983"/>
      <c r="G21" s="974"/>
      <c r="H21" s="974"/>
      <c r="I21" s="974"/>
      <c r="J21" s="452"/>
      <c r="K21" s="85"/>
      <c r="L21" s="85"/>
      <c r="M21" s="85"/>
    </row>
    <row r="22" spans="1:13" ht="13.2">
      <c r="A22" s="83"/>
      <c r="B22" s="83"/>
      <c r="C22" s="83"/>
      <c r="D22" s="83"/>
      <c r="E22" s="83"/>
      <c r="F22" s="982"/>
      <c r="G22" s="973"/>
      <c r="H22" s="973"/>
      <c r="I22" s="973"/>
      <c r="J22" s="451"/>
      <c r="K22" s="84"/>
      <c r="L22" s="84"/>
      <c r="M22" s="84"/>
    </row>
    <row r="23" spans="1:13" ht="13.2">
      <c r="A23" s="986" t="e">
        <f>VLOOKUP(6,'Base Budget'!A38:C93,3,FALSE)</f>
        <v>#N/A</v>
      </c>
      <c r="B23" s="986"/>
      <c r="C23" s="986"/>
      <c r="D23" s="986"/>
      <c r="E23" s="987"/>
      <c r="F23" s="983"/>
      <c r="G23" s="974"/>
      <c r="H23" s="974"/>
      <c r="I23" s="974"/>
      <c r="J23" s="452"/>
      <c r="K23" s="85"/>
      <c r="L23" s="85"/>
      <c r="M23" s="85"/>
    </row>
    <row r="24" spans="1:13" ht="13.2">
      <c r="A24" s="83"/>
      <c r="B24" s="83"/>
      <c r="C24" s="83"/>
      <c r="D24" s="83"/>
      <c r="E24" s="83"/>
      <c r="F24" s="982"/>
      <c r="G24" s="973"/>
      <c r="H24" s="973"/>
      <c r="I24" s="973"/>
      <c r="J24" s="451"/>
      <c r="K24" s="84"/>
      <c r="L24" s="84"/>
      <c r="M24" s="84"/>
    </row>
    <row r="25" spans="1:13" ht="13.2">
      <c r="A25" s="986" t="e">
        <f>VLOOKUP(7,'Base Budget'!A38:C93,3,FALSE)</f>
        <v>#N/A</v>
      </c>
      <c r="B25" s="986"/>
      <c r="C25" s="986"/>
      <c r="D25" s="986"/>
      <c r="E25" s="987"/>
      <c r="F25" s="983"/>
      <c r="G25" s="974"/>
      <c r="H25" s="974"/>
      <c r="I25" s="974"/>
      <c r="J25" s="452"/>
      <c r="K25" s="85"/>
      <c r="L25" s="85"/>
      <c r="M25" s="85"/>
    </row>
    <row r="26" spans="1:13" ht="13.2">
      <c r="A26" s="83"/>
      <c r="B26" s="83"/>
      <c r="C26" s="83"/>
      <c r="D26" s="83"/>
      <c r="E26" s="83"/>
      <c r="F26" s="982"/>
      <c r="G26" s="973"/>
      <c r="H26" s="973"/>
      <c r="I26" s="973"/>
      <c r="J26" s="451"/>
      <c r="K26" s="84"/>
      <c r="L26" s="84"/>
      <c r="M26" s="84"/>
    </row>
    <row r="27" spans="1:13" ht="13.2">
      <c r="A27" s="986" t="e">
        <f>VLOOKUP(8,'Base Budget'!A38:C93,3,FALSE)</f>
        <v>#N/A</v>
      </c>
      <c r="B27" s="986"/>
      <c r="C27" s="986"/>
      <c r="D27" s="986"/>
      <c r="E27" s="987"/>
      <c r="F27" s="983"/>
      <c r="G27" s="974"/>
      <c r="H27" s="974"/>
      <c r="I27" s="974"/>
      <c r="J27" s="452"/>
      <c r="K27" s="85"/>
      <c r="L27" s="85"/>
      <c r="M27" s="85"/>
    </row>
    <row r="28" spans="1:13" ht="13.2">
      <c r="A28" s="83"/>
      <c r="B28" s="83"/>
      <c r="C28" s="83"/>
      <c r="D28" s="83"/>
      <c r="E28" s="83"/>
      <c r="F28" s="982"/>
      <c r="G28" s="973"/>
      <c r="H28" s="973"/>
      <c r="I28" s="973"/>
      <c r="J28" s="973"/>
      <c r="K28" s="84"/>
      <c r="L28" s="84"/>
      <c r="M28" s="84"/>
    </row>
    <row r="29" spans="1:13" ht="13.8" thickBot="1">
      <c r="A29" s="986" t="e">
        <f>VLOOKUP(9,'Base Budget'!A38:C93,3,FALSE)</f>
        <v>#N/A</v>
      </c>
      <c r="B29" s="986"/>
      <c r="C29" s="986"/>
      <c r="D29" s="986"/>
      <c r="E29" s="987"/>
      <c r="F29" s="983"/>
      <c r="G29" s="974"/>
      <c r="H29" s="974"/>
      <c r="I29" s="974"/>
      <c r="J29" s="974"/>
      <c r="K29" s="85"/>
      <c r="L29" s="85"/>
      <c r="M29" s="85"/>
    </row>
    <row r="30" spans="1:13" ht="13.2">
      <c r="A30" s="83"/>
      <c r="B30" s="83"/>
      <c r="C30" s="83"/>
      <c r="D30" s="83"/>
      <c r="E30" s="83"/>
      <c r="F30" s="83"/>
      <c r="G30" s="83"/>
      <c r="H30" s="83"/>
      <c r="I30" s="87"/>
      <c r="J30" s="453"/>
      <c r="K30" s="88"/>
      <c r="L30" s="88"/>
      <c r="M30" s="88"/>
    </row>
    <row r="31" spans="1:13" ht="13.8" thickBot="1">
      <c r="A31" s="79"/>
      <c r="B31" s="79"/>
      <c r="C31" s="79"/>
      <c r="D31" s="79"/>
      <c r="E31" s="79"/>
      <c r="F31" s="79"/>
      <c r="G31" s="79" t="s">
        <v>107</v>
      </c>
      <c r="H31" s="79"/>
      <c r="I31" s="89"/>
      <c r="J31" s="89"/>
      <c r="K31" s="90">
        <f>SUMIF(K13:K29,"&gt;1",K13:K29)</f>
        <v>0</v>
      </c>
      <c r="L31" s="90">
        <f>SUMIF(L13:L29,"&gt;1",L13:L29)</f>
        <v>0</v>
      </c>
      <c r="M31" s="90">
        <f>SUMIF(M13:M29,"&gt;1",M13:M29)</f>
        <v>0</v>
      </c>
    </row>
    <row r="32" spans="1:13" ht="13.2">
      <c r="A32" s="91" t="s">
        <v>108</v>
      </c>
      <c r="B32" s="77"/>
      <c r="C32" s="77"/>
      <c r="D32" s="77"/>
      <c r="E32" s="77"/>
      <c r="F32" s="77"/>
      <c r="G32" s="77"/>
      <c r="H32" s="77"/>
      <c r="I32" s="77"/>
      <c r="J32" s="98"/>
      <c r="K32" s="92"/>
      <c r="L32" s="92"/>
      <c r="M32" s="93"/>
    </row>
    <row r="33" spans="1:13" ht="13.2">
      <c r="M33" s="94"/>
    </row>
    <row r="34" spans="1:13" ht="13.2">
      <c r="M34" s="85">
        <f>+'Base Budget'!L113</f>
        <v>0</v>
      </c>
    </row>
    <row r="35" spans="1:13" ht="13.2">
      <c r="A35" s="91" t="s">
        <v>116</v>
      </c>
      <c r="B35" s="77"/>
      <c r="C35" s="77"/>
      <c r="D35" s="77"/>
      <c r="E35" s="77"/>
      <c r="F35" s="77"/>
      <c r="G35" s="77"/>
      <c r="H35" s="77"/>
      <c r="I35" s="77"/>
      <c r="J35" s="77"/>
      <c r="K35" s="77"/>
      <c r="L35" s="77"/>
      <c r="M35" s="95"/>
    </row>
    <row r="36" spans="1:13" ht="13.2">
      <c r="M36" s="96"/>
    </row>
    <row r="37" spans="1:13" ht="13.2">
      <c r="M37" s="85">
        <f>+'Base Budget'!L122</f>
        <v>0</v>
      </c>
    </row>
    <row r="38" spans="1:13" ht="13.2">
      <c r="A38" s="91" t="s">
        <v>117</v>
      </c>
      <c r="B38" s="77"/>
      <c r="C38" s="77"/>
      <c r="D38" s="77"/>
      <c r="E38" s="77"/>
      <c r="F38" s="77"/>
      <c r="G38" s="77"/>
      <c r="H38" s="77"/>
      <c r="I38" s="77"/>
      <c r="J38" s="77"/>
      <c r="K38" s="77"/>
      <c r="L38" s="77"/>
      <c r="M38" s="95"/>
    </row>
    <row r="39" spans="1:13" ht="13.2">
      <c r="M39" s="96"/>
    </row>
    <row r="40" spans="1:13" ht="13.2">
      <c r="M40" s="96"/>
    </row>
    <row r="41" spans="1:13" ht="13.2">
      <c r="M41" s="96"/>
    </row>
    <row r="42" spans="1:13" ht="13.2">
      <c r="M42" s="96"/>
    </row>
    <row r="43" spans="1:13" ht="13.2">
      <c r="M43" s="96"/>
    </row>
    <row r="44" spans="1:13" ht="13.2">
      <c r="M44" s="85">
        <f>+'Base Budget'!L139</f>
        <v>0</v>
      </c>
    </row>
    <row r="45" spans="1:13" ht="13.2">
      <c r="A45" s="91" t="s">
        <v>111</v>
      </c>
      <c r="B45" s="77"/>
      <c r="C45" s="77"/>
      <c r="D45" s="77"/>
      <c r="E45" s="77"/>
      <c r="F45" s="77"/>
      <c r="G45" s="77"/>
      <c r="H45" s="77"/>
      <c r="I45" s="77"/>
      <c r="J45" s="77"/>
      <c r="K45" s="77"/>
      <c r="L45" s="77"/>
      <c r="M45" s="95"/>
    </row>
    <row r="46" spans="1:13" ht="13.2">
      <c r="M46" s="85">
        <f>+'Base Budget'!L161</f>
        <v>0</v>
      </c>
    </row>
    <row r="47" spans="1:13" ht="13.2">
      <c r="A47" s="447" t="s">
        <v>247</v>
      </c>
      <c r="B47" s="448"/>
      <c r="C47" s="448"/>
      <c r="D47" s="448"/>
      <c r="E47" s="448"/>
      <c r="F47" s="91"/>
      <c r="G47" s="77"/>
      <c r="H47" s="77"/>
      <c r="I47" s="77"/>
      <c r="J47" s="77"/>
      <c r="K47" s="77"/>
      <c r="L47" s="77"/>
      <c r="M47" s="84">
        <f>+'Base Budget'!L143</f>
        <v>0</v>
      </c>
    </row>
    <row r="48" spans="1:13" ht="13.2">
      <c r="A48" s="447" t="s">
        <v>248</v>
      </c>
      <c r="B48" s="448"/>
      <c r="C48" s="448"/>
      <c r="D48" s="448"/>
      <c r="E48" s="448"/>
      <c r="F48" s="91"/>
      <c r="G48" s="77"/>
      <c r="H48" s="77"/>
      <c r="I48" s="77"/>
      <c r="J48" s="77"/>
      <c r="K48" s="77"/>
      <c r="L48" s="77"/>
      <c r="M48" s="84">
        <f>+'Base Budget'!L144</f>
        <v>0</v>
      </c>
    </row>
    <row r="49" spans="1:15" ht="13.2">
      <c r="A49" s="91" t="s">
        <v>118</v>
      </c>
      <c r="B49" s="77"/>
      <c r="C49" s="77"/>
      <c r="D49" s="77"/>
      <c r="E49" s="77"/>
      <c r="F49" s="77"/>
      <c r="G49" s="77"/>
      <c r="H49" s="77"/>
      <c r="I49" s="77"/>
      <c r="J49" s="77"/>
      <c r="K49" s="77"/>
      <c r="L49" s="77"/>
      <c r="M49" s="95"/>
    </row>
    <row r="50" spans="1:15" ht="13.2">
      <c r="M50" s="85">
        <f>+'Base Budget'!L153</f>
        <v>0</v>
      </c>
    </row>
    <row r="51" spans="1:15" ht="13.2">
      <c r="A51" s="91" t="s">
        <v>119</v>
      </c>
      <c r="B51" s="77"/>
      <c r="C51" s="77"/>
      <c r="D51" s="77"/>
      <c r="E51" s="77"/>
      <c r="F51" s="77"/>
      <c r="G51" s="77"/>
      <c r="H51" s="77"/>
      <c r="I51" s="77"/>
      <c r="J51" s="77"/>
      <c r="K51" s="77"/>
      <c r="L51" s="77"/>
      <c r="M51" s="95"/>
    </row>
    <row r="52" spans="1:15" ht="13.2">
      <c r="A52" s="97"/>
      <c r="B52" s="98"/>
      <c r="C52" s="98"/>
      <c r="D52" s="98"/>
      <c r="E52" s="98"/>
      <c r="F52" s="98"/>
      <c r="G52" s="98"/>
      <c r="H52" s="98"/>
      <c r="I52" s="98"/>
      <c r="J52" s="98"/>
      <c r="K52" s="98"/>
      <c r="L52" s="98"/>
      <c r="M52" s="96"/>
    </row>
    <row r="53" spans="1:15" ht="13.2">
      <c r="A53" s="97"/>
      <c r="B53" s="98"/>
      <c r="C53" s="98"/>
      <c r="D53" s="98"/>
      <c r="E53" s="98"/>
      <c r="F53" s="98"/>
      <c r="G53" s="98"/>
      <c r="H53" s="98"/>
      <c r="I53" s="98"/>
      <c r="J53" s="98"/>
      <c r="K53" s="98"/>
      <c r="L53" s="98"/>
      <c r="M53" s="96"/>
    </row>
    <row r="54" spans="1:15" ht="13.2">
      <c r="A54" s="97"/>
      <c r="B54" s="98"/>
      <c r="C54" s="98"/>
      <c r="D54" s="98"/>
      <c r="E54" s="98"/>
      <c r="F54" s="98"/>
      <c r="G54" s="98"/>
      <c r="H54" s="98"/>
      <c r="I54" s="98"/>
      <c r="J54" s="98"/>
      <c r="K54" s="98"/>
      <c r="L54" s="98"/>
      <c r="M54" s="96"/>
    </row>
    <row r="55" spans="1:15" ht="13.2">
      <c r="A55" s="97"/>
      <c r="B55" s="98"/>
      <c r="C55" s="98"/>
      <c r="D55" s="98"/>
      <c r="E55" s="98"/>
      <c r="F55" s="98"/>
      <c r="G55" s="98"/>
      <c r="H55" s="98"/>
      <c r="I55" s="98"/>
      <c r="J55" s="98"/>
      <c r="K55" s="98"/>
      <c r="L55" s="98"/>
      <c r="M55" s="96"/>
    </row>
    <row r="56" spans="1:15" ht="13.2">
      <c r="A56" s="97"/>
      <c r="B56" s="98"/>
      <c r="C56" s="98"/>
      <c r="D56" s="98"/>
      <c r="E56" s="98"/>
      <c r="F56" s="98"/>
      <c r="G56" s="98"/>
      <c r="H56" s="98"/>
      <c r="I56" s="98"/>
      <c r="J56" s="98"/>
      <c r="K56" s="98"/>
      <c r="L56" s="98"/>
      <c r="M56" s="96"/>
    </row>
    <row r="57" spans="1:15" ht="13.2">
      <c r="A57" s="97"/>
      <c r="B57" s="98"/>
      <c r="C57" s="98"/>
      <c r="D57" s="98"/>
      <c r="E57" s="98"/>
      <c r="F57" s="98"/>
      <c r="G57" s="98"/>
      <c r="H57" s="98"/>
      <c r="I57" s="98"/>
      <c r="J57" s="98"/>
      <c r="K57" s="98"/>
      <c r="L57" s="98"/>
      <c r="M57" s="96"/>
    </row>
    <row r="58" spans="1:15" ht="13.2">
      <c r="M58" s="85">
        <f>+'Base Budget'!L177</f>
        <v>0</v>
      </c>
    </row>
    <row r="59" spans="1:15" ht="20.100000000000001" customHeight="1" thickBot="1">
      <c r="A59" s="988" t="s">
        <v>138</v>
      </c>
      <c r="B59" s="988"/>
      <c r="C59" s="988"/>
      <c r="D59" s="988"/>
      <c r="E59" s="988"/>
      <c r="F59" s="988"/>
      <c r="G59" s="988"/>
      <c r="H59" s="979" t="s">
        <v>152</v>
      </c>
      <c r="I59" s="980"/>
      <c r="J59" s="980"/>
      <c r="K59" s="981"/>
      <c r="L59" s="991">
        <f>+'Base Budget'!L200</f>
        <v>0</v>
      </c>
      <c r="M59" s="992"/>
    </row>
    <row r="60" spans="1:15" ht="23.1" customHeight="1" thickBot="1">
      <c r="A60" s="996" t="s">
        <v>137</v>
      </c>
      <c r="B60" s="996"/>
      <c r="C60" s="996"/>
      <c r="D60" s="996"/>
      <c r="E60" s="996"/>
      <c r="F60" s="996"/>
      <c r="G60" s="996"/>
      <c r="H60" s="996"/>
      <c r="I60" s="996"/>
      <c r="J60" s="454"/>
      <c r="K60" s="98"/>
      <c r="L60" s="993">
        <f>SUM(M30:M58)+L59</f>
        <v>0</v>
      </c>
      <c r="M60" s="994"/>
    </row>
    <row r="61" spans="1:15" ht="20.100000000000001" customHeight="1" thickBot="1">
      <c r="A61" s="988" t="s">
        <v>138</v>
      </c>
      <c r="B61" s="988"/>
      <c r="C61" s="988"/>
      <c r="D61" s="988"/>
      <c r="E61" s="988"/>
      <c r="F61" s="988"/>
      <c r="G61" s="99"/>
      <c r="H61" s="979" t="s">
        <v>151</v>
      </c>
      <c r="I61" s="980"/>
      <c r="J61" s="980"/>
      <c r="K61" s="981"/>
      <c r="L61" s="989">
        <f>+'Base Budget'!L201</f>
        <v>0</v>
      </c>
      <c r="M61" s="990"/>
    </row>
    <row r="62" spans="1:15" ht="23.1" customHeight="1" thickBot="1">
      <c r="A62" s="995" t="s">
        <v>139</v>
      </c>
      <c r="B62" s="995"/>
      <c r="C62" s="995"/>
      <c r="D62" s="995"/>
      <c r="E62" s="995"/>
      <c r="F62" s="995"/>
      <c r="G62" s="995"/>
      <c r="H62" s="116"/>
      <c r="I62" s="116"/>
      <c r="J62" s="116"/>
      <c r="K62" s="116"/>
      <c r="L62" s="993">
        <f>+L60+L61</f>
        <v>0</v>
      </c>
      <c r="M62" s="994"/>
      <c r="O62" s="98"/>
    </row>
    <row r="63" spans="1:15" ht="23.1" customHeight="1">
      <c r="A63" s="978" t="s">
        <v>140</v>
      </c>
      <c r="B63" s="978"/>
      <c r="C63" s="978"/>
      <c r="D63" s="978"/>
      <c r="E63" s="978"/>
      <c r="F63" s="978"/>
      <c r="G63" s="117"/>
      <c r="H63" s="117"/>
      <c r="I63" s="117"/>
      <c r="J63" s="117"/>
      <c r="K63" s="117"/>
      <c r="L63" s="117"/>
      <c r="M63" s="118"/>
    </row>
    <row r="64" spans="1:15" ht="13.2">
      <c r="A64" s="98" t="s">
        <v>249</v>
      </c>
      <c r="B64" s="98"/>
      <c r="C64" s="98"/>
      <c r="D64" s="98"/>
      <c r="E64" s="98"/>
      <c r="F64" s="98"/>
      <c r="G64" s="984" t="s">
        <v>120</v>
      </c>
      <c r="H64" s="984"/>
      <c r="I64" s="98"/>
      <c r="J64" s="98"/>
      <c r="K64" s="98"/>
      <c r="L64" s="98"/>
      <c r="M64" s="97"/>
    </row>
    <row r="65" spans="13:13" ht="13.2">
      <c r="M65" s="102" t="s">
        <v>114</v>
      </c>
    </row>
  </sheetData>
  <mergeCells count="64">
    <mergeCell ref="H20:H21"/>
    <mergeCell ref="I20:I21"/>
    <mergeCell ref="H22:H23"/>
    <mergeCell ref="I22:I23"/>
    <mergeCell ref="H28:H29"/>
    <mergeCell ref="I28:I29"/>
    <mergeCell ref="H24:H25"/>
    <mergeCell ref="I24:I25"/>
    <mergeCell ref="H26:H27"/>
    <mergeCell ref="I26:I27"/>
    <mergeCell ref="H14:H15"/>
    <mergeCell ref="I14:I15"/>
    <mergeCell ref="H16:H17"/>
    <mergeCell ref="I16:I17"/>
    <mergeCell ref="H18:H19"/>
    <mergeCell ref="I18:I19"/>
    <mergeCell ref="L5:L6"/>
    <mergeCell ref="B2:H2"/>
    <mergeCell ref="H59:K59"/>
    <mergeCell ref="A25:E25"/>
    <mergeCell ref="A27:E27"/>
    <mergeCell ref="A29:E29"/>
    <mergeCell ref="A13:E13"/>
    <mergeCell ref="E3:I3"/>
    <mergeCell ref="K5:K6"/>
    <mergeCell ref="F24:F25"/>
    <mergeCell ref="F26:F27"/>
    <mergeCell ref="G24:G25"/>
    <mergeCell ref="G26:G27"/>
    <mergeCell ref="G28:G29"/>
    <mergeCell ref="H12:H13"/>
    <mergeCell ref="I12:I13"/>
    <mergeCell ref="G22:G23"/>
    <mergeCell ref="G64:H64"/>
    <mergeCell ref="K3:M3"/>
    <mergeCell ref="A15:E15"/>
    <mergeCell ref="A17:E17"/>
    <mergeCell ref="A19:E19"/>
    <mergeCell ref="A21:E21"/>
    <mergeCell ref="A23:E23"/>
    <mergeCell ref="A59:G59"/>
    <mergeCell ref="L61:M61"/>
    <mergeCell ref="L59:M59"/>
    <mergeCell ref="L60:M60"/>
    <mergeCell ref="L62:M62"/>
    <mergeCell ref="A62:G62"/>
    <mergeCell ref="A61:F61"/>
    <mergeCell ref="A60:I60"/>
    <mergeCell ref="J28:J29"/>
    <mergeCell ref="M4:M6"/>
    <mergeCell ref="A63:F63"/>
    <mergeCell ref="H61:K61"/>
    <mergeCell ref="F12:F13"/>
    <mergeCell ref="F14:F15"/>
    <mergeCell ref="F16:F17"/>
    <mergeCell ref="F18:F19"/>
    <mergeCell ref="F20:F21"/>
    <mergeCell ref="F22:F23"/>
    <mergeCell ref="F28:F29"/>
    <mergeCell ref="G12:G13"/>
    <mergeCell ref="G14:G15"/>
    <mergeCell ref="G16:G17"/>
    <mergeCell ref="G18:G19"/>
    <mergeCell ref="G20:G21"/>
  </mergeCells>
  <phoneticPr fontId="25" type="noConversion"/>
  <printOptions gridLinesSet="0"/>
  <pageMargins left="0" right="0" top="0" bottom="0" header="0.5" footer="0.5"/>
  <pageSetup scale="85"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59"/>
  <sheetViews>
    <sheetView showGridLines="0" zoomScale="85" zoomScaleNormal="80" zoomScaleSheetLayoutView="85" workbookViewId="0">
      <selection activeCell="F9" sqref="F9"/>
    </sheetView>
  </sheetViews>
  <sheetFormatPr defaultColWidth="10.33203125" defaultRowHeight="10.199999999999999"/>
  <cols>
    <col min="1" max="1" width="6.5546875" style="75" customWidth="1"/>
    <col min="2" max="2" width="2.33203125" style="75" customWidth="1"/>
    <col min="3" max="3" width="3.109375" style="75" customWidth="1"/>
    <col min="4" max="4" width="2.33203125" style="75" customWidth="1"/>
    <col min="5" max="5" width="17.88671875" style="75" customWidth="1"/>
    <col min="6" max="6" width="16.109375" style="75" customWidth="1"/>
    <col min="7" max="8" width="1.44140625" style="75" customWidth="1"/>
    <col min="9" max="12" width="16.109375" style="75" customWidth="1"/>
    <col min="13" max="13" width="1.44140625" style="75" customWidth="1"/>
    <col min="14" max="14" width="12.5546875" style="75" customWidth="1"/>
    <col min="15" max="15" width="1.44140625" style="75" customWidth="1"/>
    <col min="16" max="16" width="4.88671875" style="75" customWidth="1"/>
    <col min="17" max="17" width="2.33203125" style="75" customWidth="1"/>
    <col min="18" max="18" width="3.109375" style="75" customWidth="1"/>
    <col min="19" max="19" width="2.33203125" style="75" customWidth="1"/>
    <col min="20" max="20" width="13.44140625" style="75" customWidth="1"/>
    <col min="21" max="21" width="10" style="75" customWidth="1"/>
    <col min="22" max="22" width="13.44140625" style="75" customWidth="1"/>
    <col min="23" max="23" width="12.5546875" style="75" customWidth="1"/>
    <col min="24" max="26" width="5.6640625" style="75" customWidth="1"/>
    <col min="27" max="28" width="13.44140625" style="75" customWidth="1"/>
    <col min="29" max="29" width="12.5546875" style="75" customWidth="1"/>
    <col min="30" max="30" width="1.44140625" style="75" customWidth="1"/>
    <col min="31" max="31" width="4.88671875" style="75" customWidth="1"/>
    <col min="32" max="32" width="2.33203125" style="75" customWidth="1"/>
    <col min="33" max="33" width="3.109375" style="75" customWidth="1"/>
    <col min="34" max="34" width="2.33203125" style="75" customWidth="1"/>
    <col min="35" max="35" width="13.44140625" style="75" customWidth="1"/>
    <col min="36" max="36" width="10" style="75" customWidth="1"/>
    <col min="37" max="37" width="13.44140625" style="75" customWidth="1"/>
    <col min="38" max="38" width="12.5546875" style="75" customWidth="1"/>
    <col min="39" max="41" width="5.6640625" style="75" customWidth="1"/>
    <col min="42" max="43" width="13.44140625" style="75" customWidth="1"/>
    <col min="44" max="44" width="12.5546875" style="75" customWidth="1"/>
    <col min="45" max="45" width="1.44140625" style="75" customWidth="1"/>
    <col min="46" max="46" width="4.88671875" style="75" customWidth="1"/>
    <col min="47" max="47" width="2.33203125" style="75" customWidth="1"/>
    <col min="48" max="48" width="3.109375" style="75" customWidth="1"/>
    <col min="49" max="49" width="2.33203125" style="75" customWidth="1"/>
    <col min="50" max="50" width="13.44140625" style="75" customWidth="1"/>
    <col min="51" max="51" width="10" style="75" customWidth="1"/>
    <col min="52" max="52" width="13.44140625" style="75" customWidth="1"/>
    <col min="53" max="53" width="12.5546875" style="75" customWidth="1"/>
    <col min="54" max="56" width="5.6640625" style="75" customWidth="1"/>
    <col min="57" max="58" width="13.44140625" style="75" customWidth="1"/>
    <col min="59" max="59" width="12.5546875" style="75" customWidth="1"/>
    <col min="60" max="60" width="1.44140625" style="75" customWidth="1"/>
    <col min="61" max="61" width="4.88671875" style="75" customWidth="1"/>
    <col min="62" max="62" width="2.33203125" style="75" customWidth="1"/>
    <col min="63" max="63" width="3.109375" style="75" customWidth="1"/>
    <col min="64" max="64" width="2.33203125" style="75" customWidth="1"/>
    <col min="65" max="65" width="13.44140625" style="75" customWidth="1"/>
    <col min="66" max="66" width="10" style="75" customWidth="1"/>
    <col min="67" max="67" width="13.44140625" style="75" customWidth="1"/>
    <col min="68" max="68" width="12.5546875" style="75" customWidth="1"/>
    <col min="69" max="71" width="5.6640625" style="75" customWidth="1"/>
    <col min="72" max="73" width="13.44140625" style="75" customWidth="1"/>
    <col min="74" max="74" width="12.5546875" style="75" customWidth="1"/>
    <col min="75" max="75" width="1.44140625" style="75" customWidth="1"/>
    <col min="76" max="76" width="4.88671875" style="75" customWidth="1"/>
    <col min="77" max="77" width="2.33203125" style="75" customWidth="1"/>
    <col min="78" max="78" width="3.109375" style="75" customWidth="1"/>
    <col min="79" max="79" width="2.33203125" style="75" customWidth="1"/>
    <col min="80" max="80" width="13.44140625" style="75" customWidth="1"/>
    <col min="81" max="81" width="10" style="75" customWidth="1"/>
    <col min="82" max="82" width="13.44140625" style="75" customWidth="1"/>
    <col min="83" max="83" width="12.5546875" style="75" customWidth="1"/>
    <col min="84" max="86" width="5.6640625" style="75" customWidth="1"/>
    <col min="87" max="88" width="13.44140625" style="75" customWidth="1"/>
    <col min="89" max="89" width="12.5546875" style="75" customWidth="1"/>
    <col min="90" max="90" width="1.44140625" style="75" customWidth="1"/>
    <col min="91" max="16384" width="10.33203125" style="75"/>
  </cols>
  <sheetData>
    <row r="1" spans="1:13">
      <c r="A1" s="75" t="s">
        <v>94</v>
      </c>
    </row>
    <row r="2" spans="1:13" ht="12.75" customHeight="1">
      <c r="A2" s="76"/>
      <c r="B2" s="1006" t="s">
        <v>155</v>
      </c>
      <c r="C2" s="1006"/>
      <c r="D2" s="1006"/>
      <c r="E2" s="1006"/>
      <c r="F2" s="1006"/>
      <c r="G2" s="1006"/>
      <c r="H2" s="1006"/>
      <c r="I2" s="1007" t="str">
        <f>+'Base Budget'!C38</f>
        <v>PI name</v>
      </c>
      <c r="J2" s="1007"/>
      <c r="K2" s="1007"/>
    </row>
    <row r="3" spans="1:13" ht="15.6">
      <c r="A3" s="77"/>
      <c r="B3" s="77"/>
      <c r="C3" s="77"/>
      <c r="D3" s="77"/>
      <c r="E3" s="77"/>
      <c r="F3" s="103" t="s">
        <v>121</v>
      </c>
      <c r="G3" s="103"/>
      <c r="H3" s="103"/>
      <c r="I3" s="103"/>
      <c r="J3" s="103"/>
      <c r="K3" s="77"/>
      <c r="L3" s="77"/>
    </row>
    <row r="4" spans="1:13" ht="15.6">
      <c r="F4" s="104"/>
      <c r="G4" s="104" t="s">
        <v>98</v>
      </c>
      <c r="H4" s="104"/>
      <c r="I4" s="104"/>
      <c r="J4" s="104"/>
    </row>
    <row r="5" spans="1:13">
      <c r="A5" s="77"/>
      <c r="B5" s="77"/>
      <c r="C5" s="77"/>
      <c r="D5" s="77"/>
      <c r="E5" s="77"/>
      <c r="F5" s="81" t="s">
        <v>122</v>
      </c>
      <c r="G5" s="77"/>
      <c r="H5" s="78"/>
      <c r="I5" s="458" t="s">
        <v>257</v>
      </c>
      <c r="J5" s="459" t="s">
        <v>259</v>
      </c>
      <c r="K5" s="459" t="s">
        <v>260</v>
      </c>
      <c r="L5" s="81" t="s">
        <v>261</v>
      </c>
    </row>
    <row r="6" spans="1:13">
      <c r="B6" s="75" t="s">
        <v>123</v>
      </c>
      <c r="F6" s="82" t="s">
        <v>124</v>
      </c>
      <c r="H6" s="80"/>
      <c r="I6" s="460" t="s">
        <v>258</v>
      </c>
      <c r="J6" s="461" t="s">
        <v>258</v>
      </c>
      <c r="K6" s="461" t="s">
        <v>258</v>
      </c>
      <c r="L6" s="82" t="s">
        <v>258</v>
      </c>
    </row>
    <row r="7" spans="1:13">
      <c r="C7" s="75" t="s">
        <v>106</v>
      </c>
      <c r="F7" s="105" t="s">
        <v>141</v>
      </c>
      <c r="H7" s="80"/>
      <c r="I7" s="462" t="s">
        <v>104</v>
      </c>
      <c r="J7" s="457" t="s">
        <v>104</v>
      </c>
      <c r="K7" s="457" t="s">
        <v>104</v>
      </c>
      <c r="L7" s="463" t="s">
        <v>104</v>
      </c>
    </row>
    <row r="8" spans="1:13" ht="22.5" customHeight="1">
      <c r="A8" s="106" t="s">
        <v>253</v>
      </c>
      <c r="B8" s="77"/>
      <c r="C8" s="77"/>
      <c r="D8" s="77"/>
      <c r="E8" s="77"/>
      <c r="F8" s="84"/>
      <c r="G8" s="87"/>
      <c r="H8" s="84"/>
      <c r="I8" s="87"/>
      <c r="J8" s="84"/>
      <c r="K8" s="84"/>
      <c r="L8" s="84"/>
      <c r="M8" s="86"/>
    </row>
    <row r="9" spans="1:13" ht="13.8">
      <c r="A9" s="455" t="s">
        <v>254</v>
      </c>
      <c r="F9" s="161">
        <f>+'Base Budget'!L105</f>
        <v>0</v>
      </c>
      <c r="G9" s="162"/>
      <c r="H9" s="161"/>
      <c r="I9" s="162">
        <f>+'Base Budget'!N105</f>
        <v>0</v>
      </c>
      <c r="J9" s="161">
        <f>+'Base Budget'!P105</f>
        <v>0</v>
      </c>
      <c r="K9" s="161">
        <f>+'Base Budget'!R105</f>
        <v>0</v>
      </c>
      <c r="L9" s="161">
        <f>+'Base Budget'!T105</f>
        <v>0</v>
      </c>
      <c r="M9" s="86"/>
    </row>
    <row r="10" spans="1:13" ht="13.8">
      <c r="A10" s="456" t="s">
        <v>255</v>
      </c>
      <c r="F10" s="161"/>
      <c r="G10" s="162"/>
      <c r="H10" s="161"/>
      <c r="I10" s="162"/>
      <c r="J10" s="161"/>
      <c r="K10" s="161"/>
      <c r="L10" s="161"/>
      <c r="M10" s="86"/>
    </row>
    <row r="11" spans="1:13" ht="19.5" customHeight="1">
      <c r="A11" s="77"/>
      <c r="B11" s="77"/>
      <c r="C11" s="77"/>
      <c r="D11" s="77"/>
      <c r="E11" s="77"/>
      <c r="F11" s="163"/>
      <c r="G11" s="164"/>
      <c r="H11" s="163"/>
      <c r="I11" s="164"/>
      <c r="J11" s="163"/>
      <c r="K11" s="163"/>
      <c r="L11" s="163"/>
      <c r="M11" s="86"/>
    </row>
    <row r="12" spans="1:13" ht="13.8">
      <c r="A12" s="75" t="s">
        <v>108</v>
      </c>
      <c r="F12" s="161">
        <f>+'Base Budget'!L113</f>
        <v>0</v>
      </c>
      <c r="G12" s="162"/>
      <c r="H12" s="161"/>
      <c r="I12" s="162">
        <f>+'Base Budget'!N113</f>
        <v>0</v>
      </c>
      <c r="J12" s="161">
        <f>+'Base Budget'!P113</f>
        <v>0</v>
      </c>
      <c r="K12" s="161">
        <f>+'Base Budget'!R113</f>
        <v>0</v>
      </c>
      <c r="L12" s="161">
        <f>+'Base Budget'!T113</f>
        <v>0</v>
      </c>
      <c r="M12" s="86"/>
    </row>
    <row r="13" spans="1:13" ht="13.8">
      <c r="F13" s="161"/>
      <c r="G13" s="162"/>
      <c r="H13" s="161"/>
      <c r="I13" s="162"/>
      <c r="J13" s="161"/>
      <c r="K13" s="161"/>
      <c r="L13" s="161"/>
      <c r="M13" s="86"/>
    </row>
    <row r="14" spans="1:13" ht="21" customHeight="1">
      <c r="A14" s="77"/>
      <c r="B14" s="77"/>
      <c r="C14" s="77"/>
      <c r="D14" s="77"/>
      <c r="E14" s="77"/>
      <c r="F14" s="163"/>
      <c r="G14" s="164"/>
      <c r="H14" s="163"/>
      <c r="I14" s="164"/>
      <c r="J14" s="163"/>
      <c r="K14" s="163"/>
      <c r="L14" s="163"/>
      <c r="M14" s="86"/>
    </row>
    <row r="15" spans="1:13" ht="13.8">
      <c r="A15" s="75" t="s">
        <v>109</v>
      </c>
      <c r="F15" s="161">
        <f>+'Base Budget'!L122</f>
        <v>0</v>
      </c>
      <c r="G15" s="162"/>
      <c r="H15" s="161"/>
      <c r="I15" s="162">
        <f>+'Base Budget'!N122</f>
        <v>0</v>
      </c>
      <c r="J15" s="161">
        <f>+'Base Budget'!P122</f>
        <v>0</v>
      </c>
      <c r="K15" s="161">
        <f>+'Base Budget'!R122</f>
        <v>0</v>
      </c>
      <c r="L15" s="161">
        <f>+'Base Budget'!T122</f>
        <v>0</v>
      </c>
      <c r="M15" s="86"/>
    </row>
    <row r="16" spans="1:13" ht="13.8">
      <c r="F16" s="161"/>
      <c r="G16" s="162"/>
      <c r="H16" s="161"/>
      <c r="I16" s="162"/>
      <c r="J16" s="161"/>
      <c r="K16" s="161"/>
      <c r="L16" s="161"/>
      <c r="M16" s="86"/>
    </row>
    <row r="17" spans="1:13" ht="13.8">
      <c r="A17" s="77"/>
      <c r="B17" s="77"/>
      <c r="C17" s="77"/>
      <c r="D17" s="77"/>
      <c r="E17" s="77"/>
      <c r="F17" s="163"/>
      <c r="G17" s="164"/>
      <c r="H17" s="163"/>
      <c r="I17" s="164"/>
      <c r="J17" s="163"/>
      <c r="K17" s="163"/>
      <c r="L17" s="163"/>
      <c r="M17" s="86"/>
    </row>
    <row r="18" spans="1:13" ht="13.8">
      <c r="A18" s="75" t="s">
        <v>110</v>
      </c>
      <c r="F18" s="161">
        <f>+'Base Budget'!L139</f>
        <v>0</v>
      </c>
      <c r="G18" s="162"/>
      <c r="H18" s="161"/>
      <c r="I18" s="162">
        <f>+'Base Budget'!N139</f>
        <v>0</v>
      </c>
      <c r="J18" s="161">
        <f>+'Base Budget'!P139</f>
        <v>0</v>
      </c>
      <c r="K18" s="161">
        <f>+'Base Budget'!R139</f>
        <v>0</v>
      </c>
      <c r="L18" s="161">
        <f>+'Base Budget'!T139</f>
        <v>0</v>
      </c>
      <c r="M18" s="86"/>
    </row>
    <row r="19" spans="1:13" ht="13.8">
      <c r="F19" s="161"/>
      <c r="G19" s="162"/>
      <c r="H19" s="161"/>
      <c r="I19" s="162"/>
      <c r="J19" s="161"/>
      <c r="K19" s="161"/>
      <c r="L19" s="161"/>
      <c r="M19" s="86"/>
    </row>
    <row r="20" spans="1:13" ht="13.8">
      <c r="A20" s="77"/>
      <c r="B20" s="77"/>
      <c r="C20" s="77"/>
      <c r="D20" s="77"/>
      <c r="E20" s="77"/>
      <c r="F20" s="163"/>
      <c r="G20" s="164"/>
      <c r="H20" s="163"/>
      <c r="I20" s="164"/>
      <c r="J20" s="163"/>
      <c r="K20" s="163"/>
      <c r="L20" s="163"/>
      <c r="M20" s="86"/>
    </row>
    <row r="21" spans="1:13" ht="13.8">
      <c r="A21" s="75" t="s">
        <v>111</v>
      </c>
      <c r="F21" s="161">
        <f>+'Base Budget'!L161</f>
        <v>0</v>
      </c>
      <c r="G21" s="162"/>
      <c r="H21" s="161"/>
      <c r="I21" s="162">
        <f>+'Base Budget'!N161</f>
        <v>0</v>
      </c>
      <c r="J21" s="161">
        <f>+'Base Budget'!P161</f>
        <v>0</v>
      </c>
      <c r="K21" s="161">
        <f>+'Base Budget'!R161</f>
        <v>0</v>
      </c>
      <c r="L21" s="161">
        <f>+'Base Budget'!T161</f>
        <v>0</v>
      </c>
      <c r="M21" s="86"/>
    </row>
    <row r="22" spans="1:13" ht="13.8">
      <c r="A22" s="108"/>
      <c r="B22" s="108"/>
      <c r="C22" s="108"/>
      <c r="D22" s="108"/>
      <c r="E22" s="108"/>
      <c r="F22" s="165"/>
      <c r="G22" s="166"/>
      <c r="H22" s="165"/>
      <c r="I22" s="166"/>
      <c r="J22" s="165"/>
      <c r="K22" s="165"/>
      <c r="L22" s="165"/>
      <c r="M22" s="86"/>
    </row>
    <row r="23" spans="1:13" ht="12" customHeight="1">
      <c r="A23" s="98"/>
      <c r="B23" s="98"/>
      <c r="C23" s="98"/>
      <c r="D23" s="77"/>
      <c r="E23" s="464"/>
      <c r="F23" s="167"/>
      <c r="G23" s="168"/>
      <c r="H23" s="167"/>
      <c r="I23" s="168"/>
      <c r="J23" s="167"/>
      <c r="K23" s="167"/>
      <c r="L23" s="167"/>
      <c r="M23" s="86"/>
    </row>
    <row r="24" spans="1:13" ht="12" customHeight="1">
      <c r="A24" s="108" t="s">
        <v>262</v>
      </c>
      <c r="B24" s="108"/>
      <c r="C24" s="108"/>
      <c r="D24" s="108"/>
      <c r="E24" s="98"/>
      <c r="F24" s="161">
        <f>+'Base Budget'!L143</f>
        <v>0</v>
      </c>
      <c r="G24" s="169"/>
      <c r="H24" s="161"/>
      <c r="I24" s="169">
        <f>+'Base Budget'!N143</f>
        <v>0</v>
      </c>
      <c r="J24" s="161">
        <f>+'Base Budget'!P143</f>
        <v>0</v>
      </c>
      <c r="K24" s="161">
        <f>+'Base Budget'!R143</f>
        <v>0</v>
      </c>
      <c r="L24" s="161">
        <f>+'Base Budget'!T143</f>
        <v>0</v>
      </c>
      <c r="M24" s="86"/>
    </row>
    <row r="25" spans="1:13" ht="12" customHeight="1">
      <c r="D25" s="98"/>
      <c r="E25" s="464"/>
      <c r="F25" s="170"/>
      <c r="G25" s="164"/>
      <c r="H25" s="163"/>
      <c r="I25" s="171"/>
      <c r="J25" s="171"/>
      <c r="K25" s="171"/>
      <c r="L25" s="170"/>
      <c r="M25" s="86"/>
    </row>
    <row r="26" spans="1:13" ht="12" customHeight="1">
      <c r="A26" s="107" t="s">
        <v>263</v>
      </c>
      <c r="D26" s="108"/>
      <c r="E26" s="465"/>
      <c r="F26" s="161">
        <f>+'Base Budget'!L144</f>
        <v>0</v>
      </c>
      <c r="G26" s="169"/>
      <c r="H26" s="161"/>
      <c r="I26" s="169">
        <f>+'Base Budget'!N144</f>
        <v>0</v>
      </c>
      <c r="J26" s="161">
        <f>+'Base Budget'!P144</f>
        <v>0</v>
      </c>
      <c r="K26" s="161">
        <f>+'Base Budget'!R144</f>
        <v>0</v>
      </c>
      <c r="L26" s="161">
        <f>+'Base Budget'!T144</f>
        <v>0</v>
      </c>
      <c r="M26" s="86"/>
    </row>
    <row r="27" spans="1:13" ht="13.8">
      <c r="A27" s="77" t="s">
        <v>129</v>
      </c>
      <c r="B27" s="77"/>
      <c r="C27" s="77"/>
      <c r="D27" s="77"/>
      <c r="E27" s="77"/>
      <c r="F27" s="163"/>
      <c r="G27" s="164"/>
      <c r="H27" s="163"/>
      <c r="I27" s="164"/>
      <c r="J27" s="163"/>
      <c r="K27" s="163"/>
      <c r="L27" s="163"/>
      <c r="M27" s="86"/>
    </row>
    <row r="28" spans="1:13" ht="13.8">
      <c r="A28" s="75" t="s">
        <v>130</v>
      </c>
      <c r="F28" s="161">
        <f>+'Base Budget'!L153</f>
        <v>0</v>
      </c>
      <c r="G28" s="162"/>
      <c r="H28" s="161"/>
      <c r="I28" s="162">
        <f>+'Base Budget'!N153</f>
        <v>0</v>
      </c>
      <c r="J28" s="161">
        <f>+'Base Budget'!P153</f>
        <v>0</v>
      </c>
      <c r="K28" s="161">
        <f>+'Base Budget'!R153</f>
        <v>0</v>
      </c>
      <c r="L28" s="161">
        <f>+'Base Budget'!T153</f>
        <v>0</v>
      </c>
      <c r="M28" s="86"/>
    </row>
    <row r="29" spans="1:13" ht="13.8">
      <c r="A29" s="77"/>
      <c r="B29" s="77"/>
      <c r="C29" s="77"/>
      <c r="D29" s="77"/>
      <c r="E29" s="77"/>
      <c r="F29" s="163"/>
      <c r="G29" s="164"/>
      <c r="H29" s="163"/>
      <c r="I29" s="164"/>
      <c r="J29" s="163"/>
      <c r="K29" s="163"/>
      <c r="L29" s="163"/>
      <c r="M29" s="86"/>
    </row>
    <row r="30" spans="1:13" ht="13.8">
      <c r="A30" s="75" t="s">
        <v>131</v>
      </c>
      <c r="F30" s="161">
        <f>+'Base Budget'!L177</f>
        <v>0</v>
      </c>
      <c r="G30" s="162"/>
      <c r="H30" s="161"/>
      <c r="I30" s="162">
        <f>+'Base Budget'!N177</f>
        <v>0</v>
      </c>
      <c r="J30" s="172">
        <f>+'Base Budget'!P177</f>
        <v>0</v>
      </c>
      <c r="K30" s="161">
        <f>+'Base Budget'!R177</f>
        <v>0</v>
      </c>
      <c r="L30" s="161">
        <f>+'Base Budget'!T177</f>
        <v>0</v>
      </c>
      <c r="M30" s="86"/>
    </row>
    <row r="31" spans="1:13" ht="13.8">
      <c r="F31" s="161"/>
      <c r="G31" s="162"/>
      <c r="H31" s="161"/>
      <c r="I31" s="162"/>
      <c r="J31" s="161"/>
      <c r="K31" s="161"/>
      <c r="L31" s="161"/>
      <c r="M31" s="86"/>
    </row>
    <row r="32" spans="1:13" ht="12.75" customHeight="1">
      <c r="A32" s="466" t="s">
        <v>264</v>
      </c>
      <c r="B32" s="467"/>
      <c r="C32" s="467"/>
      <c r="D32" s="467"/>
      <c r="E32" s="468"/>
      <c r="F32" s="163"/>
      <c r="G32" s="164"/>
      <c r="H32" s="163"/>
      <c r="I32" s="164"/>
      <c r="J32" s="163"/>
      <c r="K32" s="163"/>
      <c r="L32" s="163"/>
      <c r="M32" s="86"/>
    </row>
    <row r="33" spans="1:14" ht="12.75" customHeight="1">
      <c r="A33" s="473" t="s">
        <v>133</v>
      </c>
      <c r="B33" s="469"/>
      <c r="C33" s="469"/>
      <c r="D33" s="469"/>
      <c r="E33" s="470"/>
      <c r="F33" s="161">
        <f>+'Base Budget'!L200</f>
        <v>0</v>
      </c>
      <c r="G33" s="169"/>
      <c r="H33" s="161"/>
      <c r="I33" s="169">
        <f>+'Base Budget'!N200</f>
        <v>0</v>
      </c>
      <c r="J33" s="161">
        <f>+'Base Budget'!P200</f>
        <v>0</v>
      </c>
      <c r="K33" s="161">
        <f>+'Base Budget'!R200</f>
        <v>0</v>
      </c>
      <c r="L33" s="161">
        <f>+'Base Budget'!T200</f>
        <v>0</v>
      </c>
      <c r="M33" s="86"/>
      <c r="N33" s="86"/>
    </row>
    <row r="34" spans="1:14" ht="12.75" customHeight="1">
      <c r="A34" s="474" t="s">
        <v>113</v>
      </c>
      <c r="B34" s="471"/>
      <c r="C34" s="471"/>
      <c r="D34" s="471"/>
      <c r="E34" s="472"/>
      <c r="F34" s="173"/>
      <c r="G34" s="174"/>
      <c r="H34" s="173"/>
      <c r="I34" s="174"/>
      <c r="J34" s="175"/>
      <c r="K34" s="175"/>
      <c r="L34" s="173"/>
      <c r="M34" s="86"/>
    </row>
    <row r="35" spans="1:14" ht="13.8">
      <c r="A35" s="77"/>
      <c r="B35" s="77"/>
      <c r="C35" s="77"/>
      <c r="D35" s="77"/>
      <c r="E35" s="77"/>
      <c r="F35" s="163"/>
      <c r="G35" s="164"/>
      <c r="H35" s="163"/>
      <c r="I35" s="164"/>
      <c r="J35" s="163"/>
      <c r="K35" s="163"/>
      <c r="L35" s="163"/>
      <c r="M35" s="86"/>
    </row>
    <row r="36" spans="1:14" ht="13.8">
      <c r="A36" s="146" t="s">
        <v>132</v>
      </c>
      <c r="F36" s="161">
        <f>SUM(F8:F34)</f>
        <v>0</v>
      </c>
      <c r="G36" s="162"/>
      <c r="H36" s="161"/>
      <c r="I36" s="162">
        <f>SUM(I8:I34)</f>
        <v>0</v>
      </c>
      <c r="J36" s="161">
        <f>SUM(J8:J34)</f>
        <v>0</v>
      </c>
      <c r="K36" s="161">
        <f>SUM(K8:K34)</f>
        <v>0</v>
      </c>
      <c r="L36" s="161">
        <f>SUM(L8:L34)</f>
        <v>0</v>
      </c>
      <c r="M36" s="86"/>
      <c r="N36" s="86"/>
    </row>
    <row r="37" spans="1:14" ht="13.8">
      <c r="A37" s="125" t="s">
        <v>142</v>
      </c>
      <c r="F37" s="161"/>
      <c r="G37" s="162"/>
      <c r="H37" s="161"/>
      <c r="I37" s="162"/>
      <c r="J37" s="161"/>
      <c r="K37" s="161"/>
      <c r="L37" s="161"/>
      <c r="M37" s="86"/>
    </row>
    <row r="38" spans="1:14" ht="12.75" customHeight="1">
      <c r="A38" s="77" t="s">
        <v>265</v>
      </c>
      <c r="B38" s="77"/>
      <c r="C38" s="77"/>
      <c r="D38" s="77"/>
      <c r="E38" s="1003"/>
      <c r="F38" s="163"/>
      <c r="G38" s="164"/>
      <c r="H38" s="163"/>
      <c r="I38" s="164"/>
      <c r="J38" s="163"/>
      <c r="K38" s="163"/>
      <c r="L38" s="163"/>
      <c r="M38" s="86"/>
    </row>
    <row r="39" spans="1:14" ht="12.75" customHeight="1">
      <c r="A39" s="98" t="s">
        <v>133</v>
      </c>
      <c r="B39" s="98"/>
      <c r="C39" s="98"/>
      <c r="D39" s="98"/>
      <c r="E39" s="1004"/>
      <c r="F39" s="161">
        <f>+'Base Budget'!L201</f>
        <v>0</v>
      </c>
      <c r="G39" s="162"/>
      <c r="H39" s="161"/>
      <c r="I39" s="162">
        <f>+'Base Budget'!N201</f>
        <v>0</v>
      </c>
      <c r="J39" s="161">
        <f>+'Base Budget'!P201</f>
        <v>0</v>
      </c>
      <c r="K39" s="161">
        <f>+'Base Budget'!R201</f>
        <v>0</v>
      </c>
      <c r="L39" s="161">
        <f>+'Base Budget'!T201</f>
        <v>0</v>
      </c>
      <c r="M39" s="86"/>
      <c r="N39" s="86"/>
    </row>
    <row r="40" spans="1:14" ht="12.75" customHeight="1">
      <c r="A40" s="107" t="s">
        <v>113</v>
      </c>
      <c r="E40" s="1005"/>
      <c r="F40" s="161"/>
      <c r="G40" s="162"/>
      <c r="H40" s="161"/>
      <c r="I40" s="162"/>
      <c r="J40" s="161"/>
      <c r="K40" s="161"/>
      <c r="L40" s="161"/>
      <c r="M40" s="86"/>
    </row>
    <row r="41" spans="1:14" ht="13.8">
      <c r="A41" s="77"/>
      <c r="B41" s="77"/>
      <c r="C41" s="77"/>
      <c r="D41" s="77"/>
      <c r="E41" s="77"/>
      <c r="F41" s="163"/>
      <c r="G41" s="164"/>
      <c r="H41" s="163"/>
      <c r="I41" s="164"/>
      <c r="J41" s="163"/>
      <c r="K41" s="163"/>
      <c r="L41" s="163"/>
      <c r="M41" s="86"/>
      <c r="N41" s="86"/>
    </row>
    <row r="42" spans="1:14" ht="13.8">
      <c r="A42" s="79" t="s">
        <v>134</v>
      </c>
      <c r="F42" s="161">
        <f>SUM(F35:F39)</f>
        <v>0</v>
      </c>
      <c r="G42" s="162"/>
      <c r="H42" s="161"/>
      <c r="I42" s="162">
        <f>SUM(I35:I40)</f>
        <v>0</v>
      </c>
      <c r="J42" s="161">
        <f>SUM(J35:J40)</f>
        <v>0</v>
      </c>
      <c r="K42" s="161">
        <f>SUM(K35:K40)</f>
        <v>0</v>
      </c>
      <c r="L42" s="161">
        <f>SUM(L35:L40)</f>
        <v>0</v>
      </c>
      <c r="M42" s="89"/>
      <c r="N42" s="86"/>
    </row>
    <row r="43" spans="1:14" ht="14.4" thickBot="1">
      <c r="A43" s="79"/>
      <c r="F43" s="161"/>
      <c r="G43" s="162"/>
      <c r="H43" s="161"/>
      <c r="I43" s="162"/>
      <c r="J43" s="161"/>
      <c r="K43" s="161"/>
      <c r="L43" s="161"/>
      <c r="M43" s="86"/>
    </row>
    <row r="44" spans="1:14" ht="13.2">
      <c r="A44" s="83"/>
      <c r="B44" s="77"/>
      <c r="C44" s="77"/>
      <c r="D44" s="77"/>
      <c r="E44" s="77"/>
      <c r="F44" s="77"/>
      <c r="G44" s="77"/>
      <c r="H44" s="77"/>
      <c r="I44" s="77"/>
      <c r="J44" s="77"/>
      <c r="K44" s="100"/>
      <c r="L44" s="101"/>
    </row>
    <row r="45" spans="1:14" ht="13.8">
      <c r="A45" s="79" t="s">
        <v>156</v>
      </c>
      <c r="K45" s="109" t="s">
        <v>112</v>
      </c>
      <c r="L45" s="176">
        <f>SUM(F42:L42)</f>
        <v>0</v>
      </c>
    </row>
    <row r="46" spans="1:14" ht="13.8" thickBot="1">
      <c r="A46" s="108"/>
      <c r="B46" s="108"/>
      <c r="C46" s="108"/>
      <c r="D46" s="108"/>
      <c r="E46" s="108"/>
      <c r="F46" s="108"/>
      <c r="G46" s="108"/>
      <c r="H46" s="108"/>
      <c r="I46" s="108"/>
      <c r="J46" s="183"/>
      <c r="K46" s="181"/>
      <c r="L46" s="182"/>
      <c r="N46" s="86"/>
    </row>
    <row r="47" spans="1:14" ht="13.2">
      <c r="A47" s="97" t="s">
        <v>157</v>
      </c>
    </row>
    <row r="48" spans="1:14" ht="13.8">
      <c r="A48" s="177"/>
      <c r="B48" s="177"/>
      <c r="C48" s="177"/>
      <c r="D48" s="177"/>
      <c r="E48" s="177"/>
      <c r="F48" s="177"/>
      <c r="G48" s="177"/>
      <c r="H48" s="177"/>
      <c r="I48" s="177"/>
      <c r="J48" s="177"/>
      <c r="K48" s="177"/>
      <c r="L48" s="177"/>
    </row>
    <row r="49" spans="1:12" ht="13.8">
      <c r="A49" s="177"/>
      <c r="B49" s="177"/>
      <c r="C49" s="177"/>
      <c r="D49" s="177"/>
      <c r="E49" s="177"/>
      <c r="F49" s="177"/>
      <c r="G49" s="177"/>
      <c r="H49" s="177"/>
      <c r="I49" s="177"/>
      <c r="J49" s="177"/>
      <c r="K49" s="177"/>
      <c r="L49" s="177"/>
    </row>
    <row r="50" spans="1:12" ht="13.8">
      <c r="A50" s="177"/>
      <c r="B50" s="177"/>
      <c r="C50" s="177"/>
      <c r="D50" s="177"/>
      <c r="E50" s="177"/>
      <c r="F50" s="177"/>
      <c r="G50" s="177"/>
      <c r="H50" s="177"/>
      <c r="I50" s="177"/>
      <c r="J50" s="177"/>
      <c r="K50" s="177"/>
      <c r="L50" s="177"/>
    </row>
    <row r="51" spans="1:12" ht="13.8">
      <c r="A51" s="177"/>
      <c r="B51" s="177"/>
      <c r="C51" s="177"/>
      <c r="D51" s="177"/>
      <c r="E51" s="177"/>
      <c r="F51" s="177"/>
      <c r="G51" s="177"/>
      <c r="H51" s="177"/>
      <c r="I51" s="177"/>
      <c r="J51" s="177"/>
      <c r="K51" s="177"/>
      <c r="L51" s="177"/>
    </row>
    <row r="52" spans="1:12" ht="13.8">
      <c r="A52" s="177"/>
      <c r="B52" s="177"/>
      <c r="C52" s="177"/>
      <c r="D52" s="177"/>
      <c r="E52" s="177"/>
      <c r="F52" s="177"/>
      <c r="G52" s="177"/>
      <c r="H52" s="177"/>
      <c r="I52" s="177"/>
      <c r="J52" s="177"/>
      <c r="K52" s="177"/>
      <c r="L52" s="177"/>
    </row>
    <row r="53" spans="1:12" ht="13.8">
      <c r="A53" s="177"/>
      <c r="B53" s="177"/>
      <c r="C53" s="177"/>
      <c r="D53" s="177"/>
      <c r="E53" s="177"/>
      <c r="F53" s="177"/>
      <c r="G53" s="177"/>
      <c r="H53" s="177"/>
      <c r="I53" s="177"/>
      <c r="J53" s="177"/>
      <c r="K53" s="177"/>
      <c r="L53" s="177"/>
    </row>
    <row r="54" spans="1:12" ht="13.8">
      <c r="A54" s="177"/>
      <c r="B54" s="177"/>
      <c r="C54" s="177"/>
      <c r="D54" s="177"/>
      <c r="E54" s="177"/>
      <c r="F54" s="177"/>
      <c r="G54" s="177"/>
      <c r="H54" s="177"/>
      <c r="I54" s="177"/>
      <c r="J54" s="177"/>
      <c r="K54" s="177"/>
      <c r="L54" s="177"/>
    </row>
    <row r="55" spans="1:12" ht="13.8">
      <c r="A55" s="177"/>
      <c r="B55" s="177"/>
      <c r="C55" s="177"/>
      <c r="D55" s="177"/>
      <c r="E55" s="177"/>
      <c r="F55" s="177"/>
      <c r="G55" s="177"/>
      <c r="H55" s="177"/>
      <c r="I55" s="177"/>
      <c r="J55" s="177"/>
      <c r="K55" s="177"/>
      <c r="L55" s="177"/>
    </row>
    <row r="56" spans="1:12" ht="13.8">
      <c r="A56" s="177"/>
      <c r="B56" s="177"/>
      <c r="C56" s="177"/>
      <c r="D56" s="177"/>
      <c r="E56" s="177"/>
      <c r="F56" s="177"/>
      <c r="G56" s="177"/>
      <c r="H56" s="177"/>
      <c r="I56" s="177"/>
      <c r="J56" s="177"/>
      <c r="K56" s="177"/>
      <c r="L56" s="177"/>
    </row>
    <row r="57" spans="1:12" ht="13.8">
      <c r="A57" s="177"/>
      <c r="B57" s="177"/>
      <c r="C57" s="177"/>
      <c r="D57" s="177"/>
      <c r="E57" s="177"/>
      <c r="F57" s="177"/>
      <c r="G57" s="177"/>
      <c r="H57" s="177"/>
      <c r="I57" s="177"/>
      <c r="J57" s="177"/>
      <c r="K57" s="177"/>
      <c r="L57" s="177"/>
    </row>
    <row r="58" spans="1:12" ht="13.8">
      <c r="A58" s="177"/>
      <c r="B58" s="177"/>
      <c r="C58" s="177"/>
      <c r="D58" s="177"/>
      <c r="E58" s="177"/>
      <c r="F58" s="177"/>
      <c r="G58" s="177"/>
      <c r="H58" s="177"/>
      <c r="I58" s="177"/>
      <c r="J58" s="177"/>
      <c r="K58" s="177"/>
      <c r="L58" s="177"/>
    </row>
    <row r="59" spans="1:12" ht="13.2">
      <c r="A59" s="77" t="s">
        <v>249</v>
      </c>
      <c r="B59" s="77"/>
      <c r="C59" s="77"/>
      <c r="D59" s="77"/>
      <c r="E59" s="77"/>
      <c r="F59" s="77"/>
      <c r="G59" s="77"/>
      <c r="H59" s="77"/>
      <c r="I59" s="110" t="s">
        <v>135</v>
      </c>
      <c r="J59" s="77"/>
      <c r="K59" s="77"/>
      <c r="L59" s="111" t="s">
        <v>136</v>
      </c>
    </row>
  </sheetData>
  <mergeCells count="3">
    <mergeCell ref="E38:E40"/>
    <mergeCell ref="B2:H2"/>
    <mergeCell ref="I2:K2"/>
  </mergeCells>
  <phoneticPr fontId="25" type="noConversion"/>
  <printOptions gridLinesSet="0"/>
  <pageMargins left="0" right="0" top="0" bottom="0" header="0.5" footer="0.5"/>
  <pageSetup scale="85" fitToHeight="5" orientation="portrait" horizontalDpi="300" verticalDpi="300" r:id="rId1"/>
  <headerFooter alignWithMargins="0"/>
  <rowBreaks count="1" manualBreakCount="1">
    <brk id="61" max="11"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F54"/>
  <sheetViews>
    <sheetView showGridLines="0" topLeftCell="A19" zoomScaleNormal="100" workbookViewId="0">
      <selection activeCell="O43" sqref="O43"/>
    </sheetView>
  </sheetViews>
  <sheetFormatPr defaultRowHeight="12.6"/>
  <cols>
    <col min="1" max="1" width="4.44140625" style="647" customWidth="1"/>
    <col min="2" max="2" width="9.5546875" style="647" customWidth="1"/>
    <col min="3" max="3" width="15.109375" style="647" customWidth="1"/>
    <col min="4" max="4" width="14.6640625" style="647" customWidth="1"/>
    <col min="5" max="5" width="11.88671875" style="647" customWidth="1"/>
    <col min="6" max="6" width="12.88671875" style="647" customWidth="1"/>
    <col min="7" max="7" width="5.6640625" style="647" customWidth="1"/>
    <col min="8" max="8" width="9.44140625" style="647" customWidth="1"/>
    <col min="9" max="9" width="6.44140625" style="647" customWidth="1"/>
    <col min="10" max="10" width="4.5546875" style="647" customWidth="1"/>
    <col min="11" max="11" width="8.5546875" style="647" customWidth="1"/>
    <col min="12" max="12" width="15.109375" style="647" customWidth="1"/>
    <col min="13" max="13" width="8.109375" style="647" customWidth="1"/>
    <col min="14" max="14" width="7.109375" style="647" customWidth="1"/>
    <col min="15" max="15" width="19.6640625" style="647" customWidth="1"/>
    <col min="16" max="16" width="3.5546875" style="634" customWidth="1"/>
    <col min="17" max="256" width="9.109375" style="634"/>
    <col min="257" max="257" width="4.44140625" style="634" customWidth="1"/>
    <col min="258" max="258" width="9.5546875" style="634" customWidth="1"/>
    <col min="259" max="259" width="15.109375" style="634" customWidth="1"/>
    <col min="260" max="260" width="14.6640625" style="634" customWidth="1"/>
    <col min="261" max="261" width="11.88671875" style="634" customWidth="1"/>
    <col min="262" max="262" width="12.88671875" style="634" customWidth="1"/>
    <col min="263" max="263" width="5.6640625" style="634" customWidth="1"/>
    <col min="264" max="264" width="9.44140625" style="634" customWidth="1"/>
    <col min="265" max="265" width="6.44140625" style="634" customWidth="1"/>
    <col min="266" max="266" width="4.5546875" style="634" customWidth="1"/>
    <col min="267" max="267" width="8.5546875" style="634" customWidth="1"/>
    <col min="268" max="268" width="15.109375" style="634" customWidth="1"/>
    <col min="269" max="269" width="8.109375" style="634" customWidth="1"/>
    <col min="270" max="270" width="7.109375" style="634" customWidth="1"/>
    <col min="271" max="271" width="19.6640625" style="634" customWidth="1"/>
    <col min="272" max="272" width="3.5546875" style="634" customWidth="1"/>
    <col min="273" max="512" width="9.109375" style="634"/>
    <col min="513" max="513" width="4.44140625" style="634" customWidth="1"/>
    <col min="514" max="514" width="9.5546875" style="634" customWidth="1"/>
    <col min="515" max="515" width="15.109375" style="634" customWidth="1"/>
    <col min="516" max="516" width="14.6640625" style="634" customWidth="1"/>
    <col min="517" max="517" width="11.88671875" style="634" customWidth="1"/>
    <col min="518" max="518" width="12.88671875" style="634" customWidth="1"/>
    <col min="519" max="519" width="5.6640625" style="634" customWidth="1"/>
    <col min="520" max="520" width="9.44140625" style="634" customWidth="1"/>
    <col min="521" max="521" width="6.44140625" style="634" customWidth="1"/>
    <col min="522" max="522" width="4.5546875" style="634" customWidth="1"/>
    <col min="523" max="523" width="8.5546875" style="634" customWidth="1"/>
    <col min="524" max="524" width="15.109375" style="634" customWidth="1"/>
    <col min="525" max="525" width="8.109375" style="634" customWidth="1"/>
    <col min="526" max="526" width="7.109375" style="634" customWidth="1"/>
    <col min="527" max="527" width="19.6640625" style="634" customWidth="1"/>
    <col min="528" max="528" width="3.5546875" style="634" customWidth="1"/>
    <col min="529" max="768" width="9.109375" style="634"/>
    <col min="769" max="769" width="4.44140625" style="634" customWidth="1"/>
    <col min="770" max="770" width="9.5546875" style="634" customWidth="1"/>
    <col min="771" max="771" width="15.109375" style="634" customWidth="1"/>
    <col min="772" max="772" width="14.6640625" style="634" customWidth="1"/>
    <col min="773" max="773" width="11.88671875" style="634" customWidth="1"/>
    <col min="774" max="774" width="12.88671875" style="634" customWidth="1"/>
    <col min="775" max="775" width="5.6640625" style="634" customWidth="1"/>
    <col min="776" max="776" width="9.44140625" style="634" customWidth="1"/>
    <col min="777" max="777" width="6.44140625" style="634" customWidth="1"/>
    <col min="778" max="778" width="4.5546875" style="634" customWidth="1"/>
    <col min="779" max="779" width="8.5546875" style="634" customWidth="1"/>
    <col min="780" max="780" width="15.109375" style="634" customWidth="1"/>
    <col min="781" max="781" width="8.109375" style="634" customWidth="1"/>
    <col min="782" max="782" width="7.109375" style="634" customWidth="1"/>
    <col min="783" max="783" width="19.6640625" style="634" customWidth="1"/>
    <col min="784" max="784" width="3.5546875" style="634" customWidth="1"/>
    <col min="785" max="1024" width="9.109375" style="634"/>
    <col min="1025" max="1025" width="4.44140625" style="634" customWidth="1"/>
    <col min="1026" max="1026" width="9.5546875" style="634" customWidth="1"/>
    <col min="1027" max="1027" width="15.109375" style="634" customWidth="1"/>
    <col min="1028" max="1028" width="14.6640625" style="634" customWidth="1"/>
    <col min="1029" max="1029" width="11.88671875" style="634" customWidth="1"/>
    <col min="1030" max="1030" width="12.88671875" style="634" customWidth="1"/>
    <col min="1031" max="1031" width="5.6640625" style="634" customWidth="1"/>
    <col min="1032" max="1032" width="9.44140625" style="634" customWidth="1"/>
    <col min="1033" max="1033" width="6.44140625" style="634" customWidth="1"/>
    <col min="1034" max="1034" width="4.5546875" style="634" customWidth="1"/>
    <col min="1035" max="1035" width="8.5546875" style="634" customWidth="1"/>
    <col min="1036" max="1036" width="15.109375" style="634" customWidth="1"/>
    <col min="1037" max="1037" width="8.109375" style="634" customWidth="1"/>
    <col min="1038" max="1038" width="7.109375" style="634" customWidth="1"/>
    <col min="1039" max="1039" width="19.6640625" style="634" customWidth="1"/>
    <col min="1040" max="1040" width="3.5546875" style="634" customWidth="1"/>
    <col min="1041" max="1280" width="9.109375" style="634"/>
    <col min="1281" max="1281" width="4.44140625" style="634" customWidth="1"/>
    <col min="1282" max="1282" width="9.5546875" style="634" customWidth="1"/>
    <col min="1283" max="1283" width="15.109375" style="634" customWidth="1"/>
    <col min="1284" max="1284" width="14.6640625" style="634" customWidth="1"/>
    <col min="1285" max="1285" width="11.88671875" style="634" customWidth="1"/>
    <col min="1286" max="1286" width="12.88671875" style="634" customWidth="1"/>
    <col min="1287" max="1287" width="5.6640625" style="634" customWidth="1"/>
    <col min="1288" max="1288" width="9.44140625" style="634" customWidth="1"/>
    <col min="1289" max="1289" width="6.44140625" style="634" customWidth="1"/>
    <col min="1290" max="1290" width="4.5546875" style="634" customWidth="1"/>
    <col min="1291" max="1291" width="8.5546875" style="634" customWidth="1"/>
    <col min="1292" max="1292" width="15.109375" style="634" customWidth="1"/>
    <col min="1293" max="1293" width="8.109375" style="634" customWidth="1"/>
    <col min="1294" max="1294" width="7.109375" style="634" customWidth="1"/>
    <col min="1295" max="1295" width="19.6640625" style="634" customWidth="1"/>
    <col min="1296" max="1296" width="3.5546875" style="634" customWidth="1"/>
    <col min="1297" max="1536" width="9.109375" style="634"/>
    <col min="1537" max="1537" width="4.44140625" style="634" customWidth="1"/>
    <col min="1538" max="1538" width="9.5546875" style="634" customWidth="1"/>
    <col min="1539" max="1539" width="15.109375" style="634" customWidth="1"/>
    <col min="1540" max="1540" width="14.6640625" style="634" customWidth="1"/>
    <col min="1541" max="1541" width="11.88671875" style="634" customWidth="1"/>
    <col min="1542" max="1542" width="12.88671875" style="634" customWidth="1"/>
    <col min="1543" max="1543" width="5.6640625" style="634" customWidth="1"/>
    <col min="1544" max="1544" width="9.44140625" style="634" customWidth="1"/>
    <col min="1545" max="1545" width="6.44140625" style="634" customWidth="1"/>
    <col min="1546" max="1546" width="4.5546875" style="634" customWidth="1"/>
    <col min="1547" max="1547" width="8.5546875" style="634" customWidth="1"/>
    <col min="1548" max="1548" width="15.109375" style="634" customWidth="1"/>
    <col min="1549" max="1549" width="8.109375" style="634" customWidth="1"/>
    <col min="1550" max="1550" width="7.109375" style="634" customWidth="1"/>
    <col min="1551" max="1551" width="19.6640625" style="634" customWidth="1"/>
    <col min="1552" max="1552" width="3.5546875" style="634" customWidth="1"/>
    <col min="1553" max="1792" width="9.109375" style="634"/>
    <col min="1793" max="1793" width="4.44140625" style="634" customWidth="1"/>
    <col min="1794" max="1794" width="9.5546875" style="634" customWidth="1"/>
    <col min="1795" max="1795" width="15.109375" style="634" customWidth="1"/>
    <col min="1796" max="1796" width="14.6640625" style="634" customWidth="1"/>
    <col min="1797" max="1797" width="11.88671875" style="634" customWidth="1"/>
    <col min="1798" max="1798" width="12.88671875" style="634" customWidth="1"/>
    <col min="1799" max="1799" width="5.6640625" style="634" customWidth="1"/>
    <col min="1800" max="1800" width="9.44140625" style="634" customWidth="1"/>
    <col min="1801" max="1801" width="6.44140625" style="634" customWidth="1"/>
    <col min="1802" max="1802" width="4.5546875" style="634" customWidth="1"/>
    <col min="1803" max="1803" width="8.5546875" style="634" customWidth="1"/>
    <col min="1804" max="1804" width="15.109375" style="634" customWidth="1"/>
    <col min="1805" max="1805" width="8.109375" style="634" customWidth="1"/>
    <col min="1806" max="1806" width="7.109375" style="634" customWidth="1"/>
    <col min="1807" max="1807" width="19.6640625" style="634" customWidth="1"/>
    <col min="1808" max="1808" width="3.5546875" style="634" customWidth="1"/>
    <col min="1809" max="2048" width="9.109375" style="634"/>
    <col min="2049" max="2049" width="4.44140625" style="634" customWidth="1"/>
    <col min="2050" max="2050" width="9.5546875" style="634" customWidth="1"/>
    <col min="2051" max="2051" width="15.109375" style="634" customWidth="1"/>
    <col min="2052" max="2052" width="14.6640625" style="634" customWidth="1"/>
    <col min="2053" max="2053" width="11.88671875" style="634" customWidth="1"/>
    <col min="2054" max="2054" width="12.88671875" style="634" customWidth="1"/>
    <col min="2055" max="2055" width="5.6640625" style="634" customWidth="1"/>
    <col min="2056" max="2056" width="9.44140625" style="634" customWidth="1"/>
    <col min="2057" max="2057" width="6.44140625" style="634" customWidth="1"/>
    <col min="2058" max="2058" width="4.5546875" style="634" customWidth="1"/>
    <col min="2059" max="2059" width="8.5546875" style="634" customWidth="1"/>
    <col min="2060" max="2060" width="15.109375" style="634" customWidth="1"/>
    <col min="2061" max="2061" width="8.109375" style="634" customWidth="1"/>
    <col min="2062" max="2062" width="7.109375" style="634" customWidth="1"/>
    <col min="2063" max="2063" width="19.6640625" style="634" customWidth="1"/>
    <col min="2064" max="2064" width="3.5546875" style="634" customWidth="1"/>
    <col min="2065" max="2304" width="9.109375" style="634"/>
    <col min="2305" max="2305" width="4.44140625" style="634" customWidth="1"/>
    <col min="2306" max="2306" width="9.5546875" style="634" customWidth="1"/>
    <col min="2307" max="2307" width="15.109375" style="634" customWidth="1"/>
    <col min="2308" max="2308" width="14.6640625" style="634" customWidth="1"/>
    <col min="2309" max="2309" width="11.88671875" style="634" customWidth="1"/>
    <col min="2310" max="2310" width="12.88671875" style="634" customWidth="1"/>
    <col min="2311" max="2311" width="5.6640625" style="634" customWidth="1"/>
    <col min="2312" max="2312" width="9.44140625" style="634" customWidth="1"/>
    <col min="2313" max="2313" width="6.44140625" style="634" customWidth="1"/>
    <col min="2314" max="2314" width="4.5546875" style="634" customWidth="1"/>
    <col min="2315" max="2315" width="8.5546875" style="634" customWidth="1"/>
    <col min="2316" max="2316" width="15.109375" style="634" customWidth="1"/>
    <col min="2317" max="2317" width="8.109375" style="634" customWidth="1"/>
    <col min="2318" max="2318" width="7.109375" style="634" customWidth="1"/>
    <col min="2319" max="2319" width="19.6640625" style="634" customWidth="1"/>
    <col min="2320" max="2320" width="3.5546875" style="634" customWidth="1"/>
    <col min="2321" max="2560" width="9.109375" style="634"/>
    <col min="2561" max="2561" width="4.44140625" style="634" customWidth="1"/>
    <col min="2562" max="2562" width="9.5546875" style="634" customWidth="1"/>
    <col min="2563" max="2563" width="15.109375" style="634" customWidth="1"/>
    <col min="2564" max="2564" width="14.6640625" style="634" customWidth="1"/>
    <col min="2565" max="2565" width="11.88671875" style="634" customWidth="1"/>
    <col min="2566" max="2566" width="12.88671875" style="634" customWidth="1"/>
    <col min="2567" max="2567" width="5.6640625" style="634" customWidth="1"/>
    <col min="2568" max="2568" width="9.44140625" style="634" customWidth="1"/>
    <col min="2569" max="2569" width="6.44140625" style="634" customWidth="1"/>
    <col min="2570" max="2570" width="4.5546875" style="634" customWidth="1"/>
    <col min="2571" max="2571" width="8.5546875" style="634" customWidth="1"/>
    <col min="2572" max="2572" width="15.109375" style="634" customWidth="1"/>
    <col min="2573" max="2573" width="8.109375" style="634" customWidth="1"/>
    <col min="2574" max="2574" width="7.109375" style="634" customWidth="1"/>
    <col min="2575" max="2575" width="19.6640625" style="634" customWidth="1"/>
    <col min="2576" max="2576" width="3.5546875" style="634" customWidth="1"/>
    <col min="2577" max="2816" width="9.109375" style="634"/>
    <col min="2817" max="2817" width="4.44140625" style="634" customWidth="1"/>
    <col min="2818" max="2818" width="9.5546875" style="634" customWidth="1"/>
    <col min="2819" max="2819" width="15.109375" style="634" customWidth="1"/>
    <col min="2820" max="2820" width="14.6640625" style="634" customWidth="1"/>
    <col min="2821" max="2821" width="11.88671875" style="634" customWidth="1"/>
    <col min="2822" max="2822" width="12.88671875" style="634" customWidth="1"/>
    <col min="2823" max="2823" width="5.6640625" style="634" customWidth="1"/>
    <col min="2824" max="2824" width="9.44140625" style="634" customWidth="1"/>
    <col min="2825" max="2825" width="6.44140625" style="634" customWidth="1"/>
    <col min="2826" max="2826" width="4.5546875" style="634" customWidth="1"/>
    <col min="2827" max="2827" width="8.5546875" style="634" customWidth="1"/>
    <col min="2828" max="2828" width="15.109375" style="634" customWidth="1"/>
    <col min="2829" max="2829" width="8.109375" style="634" customWidth="1"/>
    <col min="2830" max="2830" width="7.109375" style="634" customWidth="1"/>
    <col min="2831" max="2831" width="19.6640625" style="634" customWidth="1"/>
    <col min="2832" max="2832" width="3.5546875" style="634" customWidth="1"/>
    <col min="2833" max="3072" width="9.109375" style="634"/>
    <col min="3073" max="3073" width="4.44140625" style="634" customWidth="1"/>
    <col min="3074" max="3074" width="9.5546875" style="634" customWidth="1"/>
    <col min="3075" max="3075" width="15.109375" style="634" customWidth="1"/>
    <col min="3076" max="3076" width="14.6640625" style="634" customWidth="1"/>
    <col min="3077" max="3077" width="11.88671875" style="634" customWidth="1"/>
    <col min="3078" max="3078" width="12.88671875" style="634" customWidth="1"/>
    <col min="3079" max="3079" width="5.6640625" style="634" customWidth="1"/>
    <col min="3080" max="3080" width="9.44140625" style="634" customWidth="1"/>
    <col min="3081" max="3081" width="6.44140625" style="634" customWidth="1"/>
    <col min="3082" max="3082" width="4.5546875" style="634" customWidth="1"/>
    <col min="3083" max="3083" width="8.5546875" style="634" customWidth="1"/>
    <col min="3084" max="3084" width="15.109375" style="634" customWidth="1"/>
    <col min="3085" max="3085" width="8.109375" style="634" customWidth="1"/>
    <col min="3086" max="3086" width="7.109375" style="634" customWidth="1"/>
    <col min="3087" max="3087" width="19.6640625" style="634" customWidth="1"/>
    <col min="3088" max="3088" width="3.5546875" style="634" customWidth="1"/>
    <col min="3089" max="3328" width="9.109375" style="634"/>
    <col min="3329" max="3329" width="4.44140625" style="634" customWidth="1"/>
    <col min="3330" max="3330" width="9.5546875" style="634" customWidth="1"/>
    <col min="3331" max="3331" width="15.109375" style="634" customWidth="1"/>
    <col min="3332" max="3332" width="14.6640625" style="634" customWidth="1"/>
    <col min="3333" max="3333" width="11.88671875" style="634" customWidth="1"/>
    <col min="3334" max="3334" width="12.88671875" style="634" customWidth="1"/>
    <col min="3335" max="3335" width="5.6640625" style="634" customWidth="1"/>
    <col min="3336" max="3336" width="9.44140625" style="634" customWidth="1"/>
    <col min="3337" max="3337" width="6.44140625" style="634" customWidth="1"/>
    <col min="3338" max="3338" width="4.5546875" style="634" customWidth="1"/>
    <col min="3339" max="3339" width="8.5546875" style="634" customWidth="1"/>
    <col min="3340" max="3340" width="15.109375" style="634" customWidth="1"/>
    <col min="3341" max="3341" width="8.109375" style="634" customWidth="1"/>
    <col min="3342" max="3342" width="7.109375" style="634" customWidth="1"/>
    <col min="3343" max="3343" width="19.6640625" style="634" customWidth="1"/>
    <col min="3344" max="3344" width="3.5546875" style="634" customWidth="1"/>
    <col min="3345" max="3584" width="9.109375" style="634"/>
    <col min="3585" max="3585" width="4.44140625" style="634" customWidth="1"/>
    <col min="3586" max="3586" width="9.5546875" style="634" customWidth="1"/>
    <col min="3587" max="3587" width="15.109375" style="634" customWidth="1"/>
    <col min="3588" max="3588" width="14.6640625" style="634" customWidth="1"/>
    <col min="3589" max="3589" width="11.88671875" style="634" customWidth="1"/>
    <col min="3590" max="3590" width="12.88671875" style="634" customWidth="1"/>
    <col min="3591" max="3591" width="5.6640625" style="634" customWidth="1"/>
    <col min="3592" max="3592" width="9.44140625" style="634" customWidth="1"/>
    <col min="3593" max="3593" width="6.44140625" style="634" customWidth="1"/>
    <col min="3594" max="3594" width="4.5546875" style="634" customWidth="1"/>
    <col min="3595" max="3595" width="8.5546875" style="634" customWidth="1"/>
    <col min="3596" max="3596" width="15.109375" style="634" customWidth="1"/>
    <col min="3597" max="3597" width="8.109375" style="634" customWidth="1"/>
    <col min="3598" max="3598" width="7.109375" style="634" customWidth="1"/>
    <col min="3599" max="3599" width="19.6640625" style="634" customWidth="1"/>
    <col min="3600" max="3600" width="3.5546875" style="634" customWidth="1"/>
    <col min="3601" max="3840" width="9.109375" style="634"/>
    <col min="3841" max="3841" width="4.44140625" style="634" customWidth="1"/>
    <col min="3842" max="3842" width="9.5546875" style="634" customWidth="1"/>
    <col min="3843" max="3843" width="15.109375" style="634" customWidth="1"/>
    <col min="3844" max="3844" width="14.6640625" style="634" customWidth="1"/>
    <col min="3845" max="3845" width="11.88671875" style="634" customWidth="1"/>
    <col min="3846" max="3846" width="12.88671875" style="634" customWidth="1"/>
    <col min="3847" max="3847" width="5.6640625" style="634" customWidth="1"/>
    <col min="3848" max="3848" width="9.44140625" style="634" customWidth="1"/>
    <col min="3849" max="3849" width="6.44140625" style="634" customWidth="1"/>
    <col min="3850" max="3850" width="4.5546875" style="634" customWidth="1"/>
    <col min="3851" max="3851" width="8.5546875" style="634" customWidth="1"/>
    <col min="3852" max="3852" width="15.109375" style="634" customWidth="1"/>
    <col min="3853" max="3853" width="8.109375" style="634" customWidth="1"/>
    <col min="3854" max="3854" width="7.109375" style="634" customWidth="1"/>
    <col min="3855" max="3855" width="19.6640625" style="634" customWidth="1"/>
    <col min="3856" max="3856" width="3.5546875" style="634" customWidth="1"/>
    <col min="3857" max="4096" width="9.109375" style="634"/>
    <col min="4097" max="4097" width="4.44140625" style="634" customWidth="1"/>
    <col min="4098" max="4098" width="9.5546875" style="634" customWidth="1"/>
    <col min="4099" max="4099" width="15.109375" style="634" customWidth="1"/>
    <col min="4100" max="4100" width="14.6640625" style="634" customWidth="1"/>
    <col min="4101" max="4101" width="11.88671875" style="634" customWidth="1"/>
    <col min="4102" max="4102" width="12.88671875" style="634" customWidth="1"/>
    <col min="4103" max="4103" width="5.6640625" style="634" customWidth="1"/>
    <col min="4104" max="4104" width="9.44140625" style="634" customWidth="1"/>
    <col min="4105" max="4105" width="6.44140625" style="634" customWidth="1"/>
    <col min="4106" max="4106" width="4.5546875" style="634" customWidth="1"/>
    <col min="4107" max="4107" width="8.5546875" style="634" customWidth="1"/>
    <col min="4108" max="4108" width="15.109375" style="634" customWidth="1"/>
    <col min="4109" max="4109" width="8.109375" style="634" customWidth="1"/>
    <col min="4110" max="4110" width="7.109375" style="634" customWidth="1"/>
    <col min="4111" max="4111" width="19.6640625" style="634" customWidth="1"/>
    <col min="4112" max="4112" width="3.5546875" style="634" customWidth="1"/>
    <col min="4113" max="4352" width="9.109375" style="634"/>
    <col min="4353" max="4353" width="4.44140625" style="634" customWidth="1"/>
    <col min="4354" max="4354" width="9.5546875" style="634" customWidth="1"/>
    <col min="4355" max="4355" width="15.109375" style="634" customWidth="1"/>
    <col min="4356" max="4356" width="14.6640625" style="634" customWidth="1"/>
    <col min="4357" max="4357" width="11.88671875" style="634" customWidth="1"/>
    <col min="4358" max="4358" width="12.88671875" style="634" customWidth="1"/>
    <col min="4359" max="4359" width="5.6640625" style="634" customWidth="1"/>
    <col min="4360" max="4360" width="9.44140625" style="634" customWidth="1"/>
    <col min="4361" max="4361" width="6.44140625" style="634" customWidth="1"/>
    <col min="4362" max="4362" width="4.5546875" style="634" customWidth="1"/>
    <col min="4363" max="4363" width="8.5546875" style="634" customWidth="1"/>
    <col min="4364" max="4364" width="15.109375" style="634" customWidth="1"/>
    <col min="4365" max="4365" width="8.109375" style="634" customWidth="1"/>
    <col min="4366" max="4366" width="7.109375" style="634" customWidth="1"/>
    <col min="4367" max="4367" width="19.6640625" style="634" customWidth="1"/>
    <col min="4368" max="4368" width="3.5546875" style="634" customWidth="1"/>
    <col min="4369" max="4608" width="9.109375" style="634"/>
    <col min="4609" max="4609" width="4.44140625" style="634" customWidth="1"/>
    <col min="4610" max="4610" width="9.5546875" style="634" customWidth="1"/>
    <col min="4611" max="4611" width="15.109375" style="634" customWidth="1"/>
    <col min="4612" max="4612" width="14.6640625" style="634" customWidth="1"/>
    <col min="4613" max="4613" width="11.88671875" style="634" customWidth="1"/>
    <col min="4614" max="4614" width="12.88671875" style="634" customWidth="1"/>
    <col min="4615" max="4615" width="5.6640625" style="634" customWidth="1"/>
    <col min="4616" max="4616" width="9.44140625" style="634" customWidth="1"/>
    <col min="4617" max="4617" width="6.44140625" style="634" customWidth="1"/>
    <col min="4618" max="4618" width="4.5546875" style="634" customWidth="1"/>
    <col min="4619" max="4619" width="8.5546875" style="634" customWidth="1"/>
    <col min="4620" max="4620" width="15.109375" style="634" customWidth="1"/>
    <col min="4621" max="4621" width="8.109375" style="634" customWidth="1"/>
    <col min="4622" max="4622" width="7.109375" style="634" customWidth="1"/>
    <col min="4623" max="4623" width="19.6640625" style="634" customWidth="1"/>
    <col min="4624" max="4624" width="3.5546875" style="634" customWidth="1"/>
    <col min="4625" max="4864" width="9.109375" style="634"/>
    <col min="4865" max="4865" width="4.44140625" style="634" customWidth="1"/>
    <col min="4866" max="4866" width="9.5546875" style="634" customWidth="1"/>
    <col min="4867" max="4867" width="15.109375" style="634" customWidth="1"/>
    <col min="4868" max="4868" width="14.6640625" style="634" customWidth="1"/>
    <col min="4869" max="4869" width="11.88671875" style="634" customWidth="1"/>
    <col min="4870" max="4870" width="12.88671875" style="634" customWidth="1"/>
    <col min="4871" max="4871" width="5.6640625" style="634" customWidth="1"/>
    <col min="4872" max="4872" width="9.44140625" style="634" customWidth="1"/>
    <col min="4873" max="4873" width="6.44140625" style="634" customWidth="1"/>
    <col min="4874" max="4874" width="4.5546875" style="634" customWidth="1"/>
    <col min="4875" max="4875" width="8.5546875" style="634" customWidth="1"/>
    <col min="4876" max="4876" width="15.109375" style="634" customWidth="1"/>
    <col min="4877" max="4877" width="8.109375" style="634" customWidth="1"/>
    <col min="4878" max="4878" width="7.109375" style="634" customWidth="1"/>
    <col min="4879" max="4879" width="19.6640625" style="634" customWidth="1"/>
    <col min="4880" max="4880" width="3.5546875" style="634" customWidth="1"/>
    <col min="4881" max="5120" width="9.109375" style="634"/>
    <col min="5121" max="5121" width="4.44140625" style="634" customWidth="1"/>
    <col min="5122" max="5122" width="9.5546875" style="634" customWidth="1"/>
    <col min="5123" max="5123" width="15.109375" style="634" customWidth="1"/>
    <col min="5124" max="5124" width="14.6640625" style="634" customWidth="1"/>
    <col min="5125" max="5125" width="11.88671875" style="634" customWidth="1"/>
    <col min="5126" max="5126" width="12.88671875" style="634" customWidth="1"/>
    <col min="5127" max="5127" width="5.6640625" style="634" customWidth="1"/>
    <col min="5128" max="5128" width="9.44140625" style="634" customWidth="1"/>
    <col min="5129" max="5129" width="6.44140625" style="634" customWidth="1"/>
    <col min="5130" max="5130" width="4.5546875" style="634" customWidth="1"/>
    <col min="5131" max="5131" width="8.5546875" style="634" customWidth="1"/>
    <col min="5132" max="5132" width="15.109375" style="634" customWidth="1"/>
    <col min="5133" max="5133" width="8.109375" style="634" customWidth="1"/>
    <col min="5134" max="5134" width="7.109375" style="634" customWidth="1"/>
    <col min="5135" max="5135" width="19.6640625" style="634" customWidth="1"/>
    <col min="5136" max="5136" width="3.5546875" style="634" customWidth="1"/>
    <col min="5137" max="5376" width="9.109375" style="634"/>
    <col min="5377" max="5377" width="4.44140625" style="634" customWidth="1"/>
    <col min="5378" max="5378" width="9.5546875" style="634" customWidth="1"/>
    <col min="5379" max="5379" width="15.109375" style="634" customWidth="1"/>
    <col min="5380" max="5380" width="14.6640625" style="634" customWidth="1"/>
    <col min="5381" max="5381" width="11.88671875" style="634" customWidth="1"/>
    <col min="5382" max="5382" width="12.88671875" style="634" customWidth="1"/>
    <col min="5383" max="5383" width="5.6640625" style="634" customWidth="1"/>
    <col min="5384" max="5384" width="9.44140625" style="634" customWidth="1"/>
    <col min="5385" max="5385" width="6.44140625" style="634" customWidth="1"/>
    <col min="5386" max="5386" width="4.5546875" style="634" customWidth="1"/>
    <col min="5387" max="5387" width="8.5546875" style="634" customWidth="1"/>
    <col min="5388" max="5388" width="15.109375" style="634" customWidth="1"/>
    <col min="5389" max="5389" width="8.109375" style="634" customWidth="1"/>
    <col min="5390" max="5390" width="7.109375" style="634" customWidth="1"/>
    <col min="5391" max="5391" width="19.6640625" style="634" customWidth="1"/>
    <col min="5392" max="5392" width="3.5546875" style="634" customWidth="1"/>
    <col min="5393" max="5632" width="9.109375" style="634"/>
    <col min="5633" max="5633" width="4.44140625" style="634" customWidth="1"/>
    <col min="5634" max="5634" width="9.5546875" style="634" customWidth="1"/>
    <col min="5635" max="5635" width="15.109375" style="634" customWidth="1"/>
    <col min="5636" max="5636" width="14.6640625" style="634" customWidth="1"/>
    <col min="5637" max="5637" width="11.88671875" style="634" customWidth="1"/>
    <col min="5638" max="5638" width="12.88671875" style="634" customWidth="1"/>
    <col min="5639" max="5639" width="5.6640625" style="634" customWidth="1"/>
    <col min="5640" max="5640" width="9.44140625" style="634" customWidth="1"/>
    <col min="5641" max="5641" width="6.44140625" style="634" customWidth="1"/>
    <col min="5642" max="5642" width="4.5546875" style="634" customWidth="1"/>
    <col min="5643" max="5643" width="8.5546875" style="634" customWidth="1"/>
    <col min="5644" max="5644" width="15.109375" style="634" customWidth="1"/>
    <col min="5645" max="5645" width="8.109375" style="634" customWidth="1"/>
    <col min="5646" max="5646" width="7.109375" style="634" customWidth="1"/>
    <col min="5647" max="5647" width="19.6640625" style="634" customWidth="1"/>
    <col min="5648" max="5648" width="3.5546875" style="634" customWidth="1"/>
    <col min="5649" max="5888" width="9.109375" style="634"/>
    <col min="5889" max="5889" width="4.44140625" style="634" customWidth="1"/>
    <col min="5890" max="5890" width="9.5546875" style="634" customWidth="1"/>
    <col min="5891" max="5891" width="15.109375" style="634" customWidth="1"/>
    <col min="5892" max="5892" width="14.6640625" style="634" customWidth="1"/>
    <col min="5893" max="5893" width="11.88671875" style="634" customWidth="1"/>
    <col min="5894" max="5894" width="12.88671875" style="634" customWidth="1"/>
    <col min="5895" max="5895" width="5.6640625" style="634" customWidth="1"/>
    <col min="5896" max="5896" width="9.44140625" style="634" customWidth="1"/>
    <col min="5897" max="5897" width="6.44140625" style="634" customWidth="1"/>
    <col min="5898" max="5898" width="4.5546875" style="634" customWidth="1"/>
    <col min="5899" max="5899" width="8.5546875" style="634" customWidth="1"/>
    <col min="5900" max="5900" width="15.109375" style="634" customWidth="1"/>
    <col min="5901" max="5901" width="8.109375" style="634" customWidth="1"/>
    <col min="5902" max="5902" width="7.109375" style="634" customWidth="1"/>
    <col min="5903" max="5903" width="19.6640625" style="634" customWidth="1"/>
    <col min="5904" max="5904" width="3.5546875" style="634" customWidth="1"/>
    <col min="5905" max="6144" width="9.109375" style="634"/>
    <col min="6145" max="6145" width="4.44140625" style="634" customWidth="1"/>
    <col min="6146" max="6146" width="9.5546875" style="634" customWidth="1"/>
    <col min="6147" max="6147" width="15.109375" style="634" customWidth="1"/>
    <col min="6148" max="6148" width="14.6640625" style="634" customWidth="1"/>
    <col min="6149" max="6149" width="11.88671875" style="634" customWidth="1"/>
    <col min="6150" max="6150" width="12.88671875" style="634" customWidth="1"/>
    <col min="6151" max="6151" width="5.6640625" style="634" customWidth="1"/>
    <col min="6152" max="6152" width="9.44140625" style="634" customWidth="1"/>
    <col min="6153" max="6153" width="6.44140625" style="634" customWidth="1"/>
    <col min="6154" max="6154" width="4.5546875" style="634" customWidth="1"/>
    <col min="6155" max="6155" width="8.5546875" style="634" customWidth="1"/>
    <col min="6156" max="6156" width="15.109375" style="634" customWidth="1"/>
    <col min="6157" max="6157" width="8.109375" style="634" customWidth="1"/>
    <col min="6158" max="6158" width="7.109375" style="634" customWidth="1"/>
    <col min="6159" max="6159" width="19.6640625" style="634" customWidth="1"/>
    <col min="6160" max="6160" width="3.5546875" style="634" customWidth="1"/>
    <col min="6161" max="6400" width="9.109375" style="634"/>
    <col min="6401" max="6401" width="4.44140625" style="634" customWidth="1"/>
    <col min="6402" max="6402" width="9.5546875" style="634" customWidth="1"/>
    <col min="6403" max="6403" width="15.109375" style="634" customWidth="1"/>
    <col min="6404" max="6404" width="14.6640625" style="634" customWidth="1"/>
    <col min="6405" max="6405" width="11.88671875" style="634" customWidth="1"/>
    <col min="6406" max="6406" width="12.88671875" style="634" customWidth="1"/>
    <col min="6407" max="6407" width="5.6640625" style="634" customWidth="1"/>
    <col min="6408" max="6408" width="9.44140625" style="634" customWidth="1"/>
    <col min="6409" max="6409" width="6.44140625" style="634" customWidth="1"/>
    <col min="6410" max="6410" width="4.5546875" style="634" customWidth="1"/>
    <col min="6411" max="6411" width="8.5546875" style="634" customWidth="1"/>
    <col min="6412" max="6412" width="15.109375" style="634" customWidth="1"/>
    <col min="6413" max="6413" width="8.109375" style="634" customWidth="1"/>
    <col min="6414" max="6414" width="7.109375" style="634" customWidth="1"/>
    <col min="6415" max="6415" width="19.6640625" style="634" customWidth="1"/>
    <col min="6416" max="6416" width="3.5546875" style="634" customWidth="1"/>
    <col min="6417" max="6656" width="9.109375" style="634"/>
    <col min="6657" max="6657" width="4.44140625" style="634" customWidth="1"/>
    <col min="6658" max="6658" width="9.5546875" style="634" customWidth="1"/>
    <col min="6659" max="6659" width="15.109375" style="634" customWidth="1"/>
    <col min="6660" max="6660" width="14.6640625" style="634" customWidth="1"/>
    <col min="6661" max="6661" width="11.88671875" style="634" customWidth="1"/>
    <col min="6662" max="6662" width="12.88671875" style="634" customWidth="1"/>
    <col min="6663" max="6663" width="5.6640625" style="634" customWidth="1"/>
    <col min="6664" max="6664" width="9.44140625" style="634" customWidth="1"/>
    <col min="6665" max="6665" width="6.44140625" style="634" customWidth="1"/>
    <col min="6666" max="6666" width="4.5546875" style="634" customWidth="1"/>
    <col min="6667" max="6667" width="8.5546875" style="634" customWidth="1"/>
    <col min="6668" max="6668" width="15.109375" style="634" customWidth="1"/>
    <col min="6669" max="6669" width="8.109375" style="634" customWidth="1"/>
    <col min="6670" max="6670" width="7.109375" style="634" customWidth="1"/>
    <col min="6671" max="6671" width="19.6640625" style="634" customWidth="1"/>
    <col min="6672" max="6672" width="3.5546875" style="634" customWidth="1"/>
    <col min="6673" max="6912" width="9.109375" style="634"/>
    <col min="6913" max="6913" width="4.44140625" style="634" customWidth="1"/>
    <col min="6914" max="6914" width="9.5546875" style="634" customWidth="1"/>
    <col min="6915" max="6915" width="15.109375" style="634" customWidth="1"/>
    <col min="6916" max="6916" width="14.6640625" style="634" customWidth="1"/>
    <col min="6917" max="6917" width="11.88671875" style="634" customWidth="1"/>
    <col min="6918" max="6918" width="12.88671875" style="634" customWidth="1"/>
    <col min="6919" max="6919" width="5.6640625" style="634" customWidth="1"/>
    <col min="6920" max="6920" width="9.44140625" style="634" customWidth="1"/>
    <col min="6921" max="6921" width="6.44140625" style="634" customWidth="1"/>
    <col min="6922" max="6922" width="4.5546875" style="634" customWidth="1"/>
    <col min="6923" max="6923" width="8.5546875" style="634" customWidth="1"/>
    <col min="6924" max="6924" width="15.109375" style="634" customWidth="1"/>
    <col min="6925" max="6925" width="8.109375" style="634" customWidth="1"/>
    <col min="6926" max="6926" width="7.109375" style="634" customWidth="1"/>
    <col min="6927" max="6927" width="19.6640625" style="634" customWidth="1"/>
    <col min="6928" max="6928" width="3.5546875" style="634" customWidth="1"/>
    <col min="6929" max="7168" width="9.109375" style="634"/>
    <col min="7169" max="7169" width="4.44140625" style="634" customWidth="1"/>
    <col min="7170" max="7170" width="9.5546875" style="634" customWidth="1"/>
    <col min="7171" max="7171" width="15.109375" style="634" customWidth="1"/>
    <col min="7172" max="7172" width="14.6640625" style="634" customWidth="1"/>
    <col min="7173" max="7173" width="11.88671875" style="634" customWidth="1"/>
    <col min="7174" max="7174" width="12.88671875" style="634" customWidth="1"/>
    <col min="7175" max="7175" width="5.6640625" style="634" customWidth="1"/>
    <col min="7176" max="7176" width="9.44140625" style="634" customWidth="1"/>
    <col min="7177" max="7177" width="6.44140625" style="634" customWidth="1"/>
    <col min="7178" max="7178" width="4.5546875" style="634" customWidth="1"/>
    <col min="7179" max="7179" width="8.5546875" style="634" customWidth="1"/>
    <col min="7180" max="7180" width="15.109375" style="634" customWidth="1"/>
    <col min="7181" max="7181" width="8.109375" style="634" customWidth="1"/>
    <col min="7182" max="7182" width="7.109375" style="634" customWidth="1"/>
    <col min="7183" max="7183" width="19.6640625" style="634" customWidth="1"/>
    <col min="7184" max="7184" width="3.5546875" style="634" customWidth="1"/>
    <col min="7185" max="7424" width="9.109375" style="634"/>
    <col min="7425" max="7425" width="4.44140625" style="634" customWidth="1"/>
    <col min="7426" max="7426" width="9.5546875" style="634" customWidth="1"/>
    <col min="7427" max="7427" width="15.109375" style="634" customWidth="1"/>
    <col min="7428" max="7428" width="14.6640625" style="634" customWidth="1"/>
    <col min="7429" max="7429" width="11.88671875" style="634" customWidth="1"/>
    <col min="7430" max="7430" width="12.88671875" style="634" customWidth="1"/>
    <col min="7431" max="7431" width="5.6640625" style="634" customWidth="1"/>
    <col min="7432" max="7432" width="9.44140625" style="634" customWidth="1"/>
    <col min="7433" max="7433" width="6.44140625" style="634" customWidth="1"/>
    <col min="7434" max="7434" width="4.5546875" style="634" customWidth="1"/>
    <col min="7435" max="7435" width="8.5546875" style="634" customWidth="1"/>
    <col min="7436" max="7436" width="15.109375" style="634" customWidth="1"/>
    <col min="7437" max="7437" width="8.109375" style="634" customWidth="1"/>
    <col min="7438" max="7438" width="7.109375" style="634" customWidth="1"/>
    <col min="7439" max="7439" width="19.6640625" style="634" customWidth="1"/>
    <col min="7440" max="7440" width="3.5546875" style="634" customWidth="1"/>
    <col min="7441" max="7680" width="9.109375" style="634"/>
    <col min="7681" max="7681" width="4.44140625" style="634" customWidth="1"/>
    <col min="7682" max="7682" width="9.5546875" style="634" customWidth="1"/>
    <col min="7683" max="7683" width="15.109375" style="634" customWidth="1"/>
    <col min="7684" max="7684" width="14.6640625" style="634" customWidth="1"/>
    <col min="7685" max="7685" width="11.88671875" style="634" customWidth="1"/>
    <col min="7686" max="7686" width="12.88671875" style="634" customWidth="1"/>
    <col min="7687" max="7687" width="5.6640625" style="634" customWidth="1"/>
    <col min="7688" max="7688" width="9.44140625" style="634" customWidth="1"/>
    <col min="7689" max="7689" width="6.44140625" style="634" customWidth="1"/>
    <col min="7690" max="7690" width="4.5546875" style="634" customWidth="1"/>
    <col min="7691" max="7691" width="8.5546875" style="634" customWidth="1"/>
    <col min="7692" max="7692" width="15.109375" style="634" customWidth="1"/>
    <col min="7693" max="7693" width="8.109375" style="634" customWidth="1"/>
    <col min="7694" max="7694" width="7.109375" style="634" customWidth="1"/>
    <col min="7695" max="7695" width="19.6640625" style="634" customWidth="1"/>
    <col min="7696" max="7696" width="3.5546875" style="634" customWidth="1"/>
    <col min="7697" max="7936" width="9.109375" style="634"/>
    <col min="7937" max="7937" width="4.44140625" style="634" customWidth="1"/>
    <col min="7938" max="7938" width="9.5546875" style="634" customWidth="1"/>
    <col min="7939" max="7939" width="15.109375" style="634" customWidth="1"/>
    <col min="7940" max="7940" width="14.6640625" style="634" customWidth="1"/>
    <col min="7941" max="7941" width="11.88671875" style="634" customWidth="1"/>
    <col min="7942" max="7942" width="12.88671875" style="634" customWidth="1"/>
    <col min="7943" max="7943" width="5.6640625" style="634" customWidth="1"/>
    <col min="7944" max="7944" width="9.44140625" style="634" customWidth="1"/>
    <col min="7945" max="7945" width="6.44140625" style="634" customWidth="1"/>
    <col min="7946" max="7946" width="4.5546875" style="634" customWidth="1"/>
    <col min="7947" max="7947" width="8.5546875" style="634" customWidth="1"/>
    <col min="7948" max="7948" width="15.109375" style="634" customWidth="1"/>
    <col min="7949" max="7949" width="8.109375" style="634" customWidth="1"/>
    <col min="7950" max="7950" width="7.109375" style="634" customWidth="1"/>
    <col min="7951" max="7951" width="19.6640625" style="634" customWidth="1"/>
    <col min="7952" max="7952" width="3.5546875" style="634" customWidth="1"/>
    <col min="7953" max="8192" width="9.109375" style="634"/>
    <col min="8193" max="8193" width="4.44140625" style="634" customWidth="1"/>
    <col min="8194" max="8194" width="9.5546875" style="634" customWidth="1"/>
    <col min="8195" max="8195" width="15.109375" style="634" customWidth="1"/>
    <col min="8196" max="8196" width="14.6640625" style="634" customWidth="1"/>
    <col min="8197" max="8197" width="11.88671875" style="634" customWidth="1"/>
    <col min="8198" max="8198" width="12.88671875" style="634" customWidth="1"/>
    <col min="8199" max="8199" width="5.6640625" style="634" customWidth="1"/>
    <col min="8200" max="8200" width="9.44140625" style="634" customWidth="1"/>
    <col min="8201" max="8201" width="6.44140625" style="634" customWidth="1"/>
    <col min="8202" max="8202" width="4.5546875" style="634" customWidth="1"/>
    <col min="8203" max="8203" width="8.5546875" style="634" customWidth="1"/>
    <col min="8204" max="8204" width="15.109375" style="634" customWidth="1"/>
    <col min="8205" max="8205" width="8.109375" style="634" customWidth="1"/>
    <col min="8206" max="8206" width="7.109375" style="634" customWidth="1"/>
    <col min="8207" max="8207" width="19.6640625" style="634" customWidth="1"/>
    <col min="8208" max="8208" width="3.5546875" style="634" customWidth="1"/>
    <col min="8209" max="8448" width="9.109375" style="634"/>
    <col min="8449" max="8449" width="4.44140625" style="634" customWidth="1"/>
    <col min="8450" max="8450" width="9.5546875" style="634" customWidth="1"/>
    <col min="8451" max="8451" width="15.109375" style="634" customWidth="1"/>
    <col min="8452" max="8452" width="14.6640625" style="634" customWidth="1"/>
    <col min="8453" max="8453" width="11.88671875" style="634" customWidth="1"/>
    <col min="8454" max="8454" width="12.88671875" style="634" customWidth="1"/>
    <col min="8455" max="8455" width="5.6640625" style="634" customWidth="1"/>
    <col min="8456" max="8456" width="9.44140625" style="634" customWidth="1"/>
    <col min="8457" max="8457" width="6.44140625" style="634" customWidth="1"/>
    <col min="8458" max="8458" width="4.5546875" style="634" customWidth="1"/>
    <col min="8459" max="8459" width="8.5546875" style="634" customWidth="1"/>
    <col min="8460" max="8460" width="15.109375" style="634" customWidth="1"/>
    <col min="8461" max="8461" width="8.109375" style="634" customWidth="1"/>
    <col min="8462" max="8462" width="7.109375" style="634" customWidth="1"/>
    <col min="8463" max="8463" width="19.6640625" style="634" customWidth="1"/>
    <col min="8464" max="8464" width="3.5546875" style="634" customWidth="1"/>
    <col min="8465" max="8704" width="9.109375" style="634"/>
    <col min="8705" max="8705" width="4.44140625" style="634" customWidth="1"/>
    <col min="8706" max="8706" width="9.5546875" style="634" customWidth="1"/>
    <col min="8707" max="8707" width="15.109375" style="634" customWidth="1"/>
    <col min="8708" max="8708" width="14.6640625" style="634" customWidth="1"/>
    <col min="8709" max="8709" width="11.88671875" style="634" customWidth="1"/>
    <col min="8710" max="8710" width="12.88671875" style="634" customWidth="1"/>
    <col min="8711" max="8711" width="5.6640625" style="634" customWidth="1"/>
    <col min="8712" max="8712" width="9.44140625" style="634" customWidth="1"/>
    <col min="8713" max="8713" width="6.44140625" style="634" customWidth="1"/>
    <col min="8714" max="8714" width="4.5546875" style="634" customWidth="1"/>
    <col min="8715" max="8715" width="8.5546875" style="634" customWidth="1"/>
    <col min="8716" max="8716" width="15.109375" style="634" customWidth="1"/>
    <col min="8717" max="8717" width="8.109375" style="634" customWidth="1"/>
    <col min="8718" max="8718" width="7.109375" style="634" customWidth="1"/>
    <col min="8719" max="8719" width="19.6640625" style="634" customWidth="1"/>
    <col min="8720" max="8720" width="3.5546875" style="634" customWidth="1"/>
    <col min="8721" max="8960" width="9.109375" style="634"/>
    <col min="8961" max="8961" width="4.44140625" style="634" customWidth="1"/>
    <col min="8962" max="8962" width="9.5546875" style="634" customWidth="1"/>
    <col min="8963" max="8963" width="15.109375" style="634" customWidth="1"/>
    <col min="8964" max="8964" width="14.6640625" style="634" customWidth="1"/>
    <col min="8965" max="8965" width="11.88671875" style="634" customWidth="1"/>
    <col min="8966" max="8966" width="12.88671875" style="634" customWidth="1"/>
    <col min="8967" max="8967" width="5.6640625" style="634" customWidth="1"/>
    <col min="8968" max="8968" width="9.44140625" style="634" customWidth="1"/>
    <col min="8969" max="8969" width="6.44140625" style="634" customWidth="1"/>
    <col min="8970" max="8970" width="4.5546875" style="634" customWidth="1"/>
    <col min="8971" max="8971" width="8.5546875" style="634" customWidth="1"/>
    <col min="8972" max="8972" width="15.109375" style="634" customWidth="1"/>
    <col min="8973" max="8973" width="8.109375" style="634" customWidth="1"/>
    <col min="8974" max="8974" width="7.109375" style="634" customWidth="1"/>
    <col min="8975" max="8975" width="19.6640625" style="634" customWidth="1"/>
    <col min="8976" max="8976" width="3.5546875" style="634" customWidth="1"/>
    <col min="8977" max="9216" width="9.109375" style="634"/>
    <col min="9217" max="9217" width="4.44140625" style="634" customWidth="1"/>
    <col min="9218" max="9218" width="9.5546875" style="634" customWidth="1"/>
    <col min="9219" max="9219" width="15.109375" style="634" customWidth="1"/>
    <col min="9220" max="9220" width="14.6640625" style="634" customWidth="1"/>
    <col min="9221" max="9221" width="11.88671875" style="634" customWidth="1"/>
    <col min="9222" max="9222" width="12.88671875" style="634" customWidth="1"/>
    <col min="9223" max="9223" width="5.6640625" style="634" customWidth="1"/>
    <col min="9224" max="9224" width="9.44140625" style="634" customWidth="1"/>
    <col min="9225" max="9225" width="6.44140625" style="634" customWidth="1"/>
    <col min="9226" max="9226" width="4.5546875" style="634" customWidth="1"/>
    <col min="9227" max="9227" width="8.5546875" style="634" customWidth="1"/>
    <col min="9228" max="9228" width="15.109375" style="634" customWidth="1"/>
    <col min="9229" max="9229" width="8.109375" style="634" customWidth="1"/>
    <col min="9230" max="9230" width="7.109375" style="634" customWidth="1"/>
    <col min="9231" max="9231" width="19.6640625" style="634" customWidth="1"/>
    <col min="9232" max="9232" width="3.5546875" style="634" customWidth="1"/>
    <col min="9233" max="9472" width="9.109375" style="634"/>
    <col min="9473" max="9473" width="4.44140625" style="634" customWidth="1"/>
    <col min="9474" max="9474" width="9.5546875" style="634" customWidth="1"/>
    <col min="9475" max="9475" width="15.109375" style="634" customWidth="1"/>
    <col min="9476" max="9476" width="14.6640625" style="634" customWidth="1"/>
    <col min="9477" max="9477" width="11.88671875" style="634" customWidth="1"/>
    <col min="9478" max="9478" width="12.88671875" style="634" customWidth="1"/>
    <col min="9479" max="9479" width="5.6640625" style="634" customWidth="1"/>
    <col min="9480" max="9480" width="9.44140625" style="634" customWidth="1"/>
    <col min="9481" max="9481" width="6.44140625" style="634" customWidth="1"/>
    <col min="9482" max="9482" width="4.5546875" style="634" customWidth="1"/>
    <col min="9483" max="9483" width="8.5546875" style="634" customWidth="1"/>
    <col min="9484" max="9484" width="15.109375" style="634" customWidth="1"/>
    <col min="9485" max="9485" width="8.109375" style="634" customWidth="1"/>
    <col min="9486" max="9486" width="7.109375" style="634" customWidth="1"/>
    <col min="9487" max="9487" width="19.6640625" style="634" customWidth="1"/>
    <col min="9488" max="9488" width="3.5546875" style="634" customWidth="1"/>
    <col min="9489" max="9728" width="9.109375" style="634"/>
    <col min="9729" max="9729" width="4.44140625" style="634" customWidth="1"/>
    <col min="9730" max="9730" width="9.5546875" style="634" customWidth="1"/>
    <col min="9731" max="9731" width="15.109375" style="634" customWidth="1"/>
    <col min="9732" max="9732" width="14.6640625" style="634" customWidth="1"/>
    <col min="9733" max="9733" width="11.88671875" style="634" customWidth="1"/>
    <col min="9734" max="9734" width="12.88671875" style="634" customWidth="1"/>
    <col min="9735" max="9735" width="5.6640625" style="634" customWidth="1"/>
    <col min="9736" max="9736" width="9.44140625" style="634" customWidth="1"/>
    <col min="9737" max="9737" width="6.44140625" style="634" customWidth="1"/>
    <col min="9738" max="9738" width="4.5546875" style="634" customWidth="1"/>
    <col min="9739" max="9739" width="8.5546875" style="634" customWidth="1"/>
    <col min="9740" max="9740" width="15.109375" style="634" customWidth="1"/>
    <col min="9741" max="9741" width="8.109375" style="634" customWidth="1"/>
    <col min="9742" max="9742" width="7.109375" style="634" customWidth="1"/>
    <col min="9743" max="9743" width="19.6640625" style="634" customWidth="1"/>
    <col min="9744" max="9744" width="3.5546875" style="634" customWidth="1"/>
    <col min="9745" max="9984" width="9.109375" style="634"/>
    <col min="9985" max="9985" width="4.44140625" style="634" customWidth="1"/>
    <col min="9986" max="9986" width="9.5546875" style="634" customWidth="1"/>
    <col min="9987" max="9987" width="15.109375" style="634" customWidth="1"/>
    <col min="9988" max="9988" width="14.6640625" style="634" customWidth="1"/>
    <col min="9989" max="9989" width="11.88671875" style="634" customWidth="1"/>
    <col min="9990" max="9990" width="12.88671875" style="634" customWidth="1"/>
    <col min="9991" max="9991" width="5.6640625" style="634" customWidth="1"/>
    <col min="9992" max="9992" width="9.44140625" style="634" customWidth="1"/>
    <col min="9993" max="9993" width="6.44140625" style="634" customWidth="1"/>
    <col min="9994" max="9994" width="4.5546875" style="634" customWidth="1"/>
    <col min="9995" max="9995" width="8.5546875" style="634" customWidth="1"/>
    <col min="9996" max="9996" width="15.109375" style="634" customWidth="1"/>
    <col min="9997" max="9997" width="8.109375" style="634" customWidth="1"/>
    <col min="9998" max="9998" width="7.109375" style="634" customWidth="1"/>
    <col min="9999" max="9999" width="19.6640625" style="634" customWidth="1"/>
    <col min="10000" max="10000" width="3.5546875" style="634" customWidth="1"/>
    <col min="10001" max="10240" width="9.109375" style="634"/>
    <col min="10241" max="10241" width="4.44140625" style="634" customWidth="1"/>
    <col min="10242" max="10242" width="9.5546875" style="634" customWidth="1"/>
    <col min="10243" max="10243" width="15.109375" style="634" customWidth="1"/>
    <col min="10244" max="10244" width="14.6640625" style="634" customWidth="1"/>
    <col min="10245" max="10245" width="11.88671875" style="634" customWidth="1"/>
    <col min="10246" max="10246" width="12.88671875" style="634" customWidth="1"/>
    <col min="10247" max="10247" width="5.6640625" style="634" customWidth="1"/>
    <col min="10248" max="10248" width="9.44140625" style="634" customWidth="1"/>
    <col min="10249" max="10249" width="6.44140625" style="634" customWidth="1"/>
    <col min="10250" max="10250" width="4.5546875" style="634" customWidth="1"/>
    <col min="10251" max="10251" width="8.5546875" style="634" customWidth="1"/>
    <col min="10252" max="10252" width="15.109375" style="634" customWidth="1"/>
    <col min="10253" max="10253" width="8.109375" style="634" customWidth="1"/>
    <col min="10254" max="10254" width="7.109375" style="634" customWidth="1"/>
    <col min="10255" max="10255" width="19.6640625" style="634" customWidth="1"/>
    <col min="10256" max="10256" width="3.5546875" style="634" customWidth="1"/>
    <col min="10257" max="10496" width="9.109375" style="634"/>
    <col min="10497" max="10497" width="4.44140625" style="634" customWidth="1"/>
    <col min="10498" max="10498" width="9.5546875" style="634" customWidth="1"/>
    <col min="10499" max="10499" width="15.109375" style="634" customWidth="1"/>
    <col min="10500" max="10500" width="14.6640625" style="634" customWidth="1"/>
    <col min="10501" max="10501" width="11.88671875" style="634" customWidth="1"/>
    <col min="10502" max="10502" width="12.88671875" style="634" customWidth="1"/>
    <col min="10503" max="10503" width="5.6640625" style="634" customWidth="1"/>
    <col min="10504" max="10504" width="9.44140625" style="634" customWidth="1"/>
    <col min="10505" max="10505" width="6.44140625" style="634" customWidth="1"/>
    <col min="10506" max="10506" width="4.5546875" style="634" customWidth="1"/>
    <col min="10507" max="10507" width="8.5546875" style="634" customWidth="1"/>
    <col min="10508" max="10508" width="15.109375" style="634" customWidth="1"/>
    <col min="10509" max="10509" width="8.109375" style="634" customWidth="1"/>
    <col min="10510" max="10510" width="7.109375" style="634" customWidth="1"/>
    <col min="10511" max="10511" width="19.6640625" style="634" customWidth="1"/>
    <col min="10512" max="10512" width="3.5546875" style="634" customWidth="1"/>
    <col min="10513" max="10752" width="9.109375" style="634"/>
    <col min="10753" max="10753" width="4.44140625" style="634" customWidth="1"/>
    <col min="10754" max="10754" width="9.5546875" style="634" customWidth="1"/>
    <col min="10755" max="10755" width="15.109375" style="634" customWidth="1"/>
    <col min="10756" max="10756" width="14.6640625" style="634" customWidth="1"/>
    <col min="10757" max="10757" width="11.88671875" style="634" customWidth="1"/>
    <col min="10758" max="10758" width="12.88671875" style="634" customWidth="1"/>
    <col min="10759" max="10759" width="5.6640625" style="634" customWidth="1"/>
    <col min="10760" max="10760" width="9.44140625" style="634" customWidth="1"/>
    <col min="10761" max="10761" width="6.44140625" style="634" customWidth="1"/>
    <col min="10762" max="10762" width="4.5546875" style="634" customWidth="1"/>
    <col min="10763" max="10763" width="8.5546875" style="634" customWidth="1"/>
    <col min="10764" max="10764" width="15.109375" style="634" customWidth="1"/>
    <col min="10765" max="10765" width="8.109375" style="634" customWidth="1"/>
    <col min="10766" max="10766" width="7.109375" style="634" customWidth="1"/>
    <col min="10767" max="10767" width="19.6640625" style="634" customWidth="1"/>
    <col min="10768" max="10768" width="3.5546875" style="634" customWidth="1"/>
    <col min="10769" max="11008" width="9.109375" style="634"/>
    <col min="11009" max="11009" width="4.44140625" style="634" customWidth="1"/>
    <col min="11010" max="11010" width="9.5546875" style="634" customWidth="1"/>
    <col min="11011" max="11011" width="15.109375" style="634" customWidth="1"/>
    <col min="11012" max="11012" width="14.6640625" style="634" customWidth="1"/>
    <col min="11013" max="11013" width="11.88671875" style="634" customWidth="1"/>
    <col min="11014" max="11014" width="12.88671875" style="634" customWidth="1"/>
    <col min="11015" max="11015" width="5.6640625" style="634" customWidth="1"/>
    <col min="11016" max="11016" width="9.44140625" style="634" customWidth="1"/>
    <col min="11017" max="11017" width="6.44140625" style="634" customWidth="1"/>
    <col min="11018" max="11018" width="4.5546875" style="634" customWidth="1"/>
    <col min="11019" max="11019" width="8.5546875" style="634" customWidth="1"/>
    <col min="11020" max="11020" width="15.109375" style="634" customWidth="1"/>
    <col min="11021" max="11021" width="8.109375" style="634" customWidth="1"/>
    <col min="11022" max="11022" width="7.109375" style="634" customWidth="1"/>
    <col min="11023" max="11023" width="19.6640625" style="634" customWidth="1"/>
    <col min="11024" max="11024" width="3.5546875" style="634" customWidth="1"/>
    <col min="11025" max="11264" width="9.109375" style="634"/>
    <col min="11265" max="11265" width="4.44140625" style="634" customWidth="1"/>
    <col min="11266" max="11266" width="9.5546875" style="634" customWidth="1"/>
    <col min="11267" max="11267" width="15.109375" style="634" customWidth="1"/>
    <col min="11268" max="11268" width="14.6640625" style="634" customWidth="1"/>
    <col min="11269" max="11269" width="11.88671875" style="634" customWidth="1"/>
    <col min="11270" max="11270" width="12.88671875" style="634" customWidth="1"/>
    <col min="11271" max="11271" width="5.6640625" style="634" customWidth="1"/>
    <col min="11272" max="11272" width="9.44140625" style="634" customWidth="1"/>
    <col min="11273" max="11273" width="6.44140625" style="634" customWidth="1"/>
    <col min="11274" max="11274" width="4.5546875" style="634" customWidth="1"/>
    <col min="11275" max="11275" width="8.5546875" style="634" customWidth="1"/>
    <col min="11276" max="11276" width="15.109375" style="634" customWidth="1"/>
    <col min="11277" max="11277" width="8.109375" style="634" customWidth="1"/>
    <col min="11278" max="11278" width="7.109375" style="634" customWidth="1"/>
    <col min="11279" max="11279" width="19.6640625" style="634" customWidth="1"/>
    <col min="11280" max="11280" width="3.5546875" style="634" customWidth="1"/>
    <col min="11281" max="11520" width="9.109375" style="634"/>
    <col min="11521" max="11521" width="4.44140625" style="634" customWidth="1"/>
    <col min="11522" max="11522" width="9.5546875" style="634" customWidth="1"/>
    <col min="11523" max="11523" width="15.109375" style="634" customWidth="1"/>
    <col min="11524" max="11524" width="14.6640625" style="634" customWidth="1"/>
    <col min="11525" max="11525" width="11.88671875" style="634" customWidth="1"/>
    <col min="11526" max="11526" width="12.88671875" style="634" customWidth="1"/>
    <col min="11527" max="11527" width="5.6640625" style="634" customWidth="1"/>
    <col min="11528" max="11528" width="9.44140625" style="634" customWidth="1"/>
    <col min="11529" max="11529" width="6.44140625" style="634" customWidth="1"/>
    <col min="11530" max="11530" width="4.5546875" style="634" customWidth="1"/>
    <col min="11531" max="11531" width="8.5546875" style="634" customWidth="1"/>
    <col min="11532" max="11532" width="15.109375" style="634" customWidth="1"/>
    <col min="11533" max="11533" width="8.109375" style="634" customWidth="1"/>
    <col min="11534" max="11534" width="7.109375" style="634" customWidth="1"/>
    <col min="11535" max="11535" width="19.6640625" style="634" customWidth="1"/>
    <col min="11536" max="11536" width="3.5546875" style="634" customWidth="1"/>
    <col min="11537" max="11776" width="9.109375" style="634"/>
    <col min="11777" max="11777" width="4.44140625" style="634" customWidth="1"/>
    <col min="11778" max="11778" width="9.5546875" style="634" customWidth="1"/>
    <col min="11779" max="11779" width="15.109375" style="634" customWidth="1"/>
    <col min="11780" max="11780" width="14.6640625" style="634" customWidth="1"/>
    <col min="11781" max="11781" width="11.88671875" style="634" customWidth="1"/>
    <col min="11782" max="11782" width="12.88671875" style="634" customWidth="1"/>
    <col min="11783" max="11783" width="5.6640625" style="634" customWidth="1"/>
    <col min="11784" max="11784" width="9.44140625" style="634" customWidth="1"/>
    <col min="11785" max="11785" width="6.44140625" style="634" customWidth="1"/>
    <col min="11786" max="11786" width="4.5546875" style="634" customWidth="1"/>
    <col min="11787" max="11787" width="8.5546875" style="634" customWidth="1"/>
    <col min="11788" max="11788" width="15.109375" style="634" customWidth="1"/>
    <col min="11789" max="11789" width="8.109375" style="634" customWidth="1"/>
    <col min="11790" max="11790" width="7.109375" style="634" customWidth="1"/>
    <col min="11791" max="11791" width="19.6640625" style="634" customWidth="1"/>
    <col min="11792" max="11792" width="3.5546875" style="634" customWidth="1"/>
    <col min="11793" max="12032" width="9.109375" style="634"/>
    <col min="12033" max="12033" width="4.44140625" style="634" customWidth="1"/>
    <col min="12034" max="12034" width="9.5546875" style="634" customWidth="1"/>
    <col min="12035" max="12035" width="15.109375" style="634" customWidth="1"/>
    <col min="12036" max="12036" width="14.6640625" style="634" customWidth="1"/>
    <col min="12037" max="12037" width="11.88671875" style="634" customWidth="1"/>
    <col min="12038" max="12038" width="12.88671875" style="634" customWidth="1"/>
    <col min="12039" max="12039" width="5.6640625" style="634" customWidth="1"/>
    <col min="12040" max="12040" width="9.44140625" style="634" customWidth="1"/>
    <col min="12041" max="12041" width="6.44140625" style="634" customWidth="1"/>
    <col min="12042" max="12042" width="4.5546875" style="634" customWidth="1"/>
    <col min="12043" max="12043" width="8.5546875" style="634" customWidth="1"/>
    <col min="12044" max="12044" width="15.109375" style="634" customWidth="1"/>
    <col min="12045" max="12045" width="8.109375" style="634" customWidth="1"/>
    <col min="12046" max="12046" width="7.109375" style="634" customWidth="1"/>
    <col min="12047" max="12047" width="19.6640625" style="634" customWidth="1"/>
    <col min="12048" max="12048" width="3.5546875" style="634" customWidth="1"/>
    <col min="12049" max="12288" width="9.109375" style="634"/>
    <col min="12289" max="12289" width="4.44140625" style="634" customWidth="1"/>
    <col min="12290" max="12290" width="9.5546875" style="634" customWidth="1"/>
    <col min="12291" max="12291" width="15.109375" style="634" customWidth="1"/>
    <col min="12292" max="12292" width="14.6640625" style="634" customWidth="1"/>
    <col min="12293" max="12293" width="11.88671875" style="634" customWidth="1"/>
    <col min="12294" max="12294" width="12.88671875" style="634" customWidth="1"/>
    <col min="12295" max="12295" width="5.6640625" style="634" customWidth="1"/>
    <col min="12296" max="12296" width="9.44140625" style="634" customWidth="1"/>
    <col min="12297" max="12297" width="6.44140625" style="634" customWidth="1"/>
    <col min="12298" max="12298" width="4.5546875" style="634" customWidth="1"/>
    <col min="12299" max="12299" width="8.5546875" style="634" customWidth="1"/>
    <col min="12300" max="12300" width="15.109375" style="634" customWidth="1"/>
    <col min="12301" max="12301" width="8.109375" style="634" customWidth="1"/>
    <col min="12302" max="12302" width="7.109375" style="634" customWidth="1"/>
    <col min="12303" max="12303" width="19.6640625" style="634" customWidth="1"/>
    <col min="12304" max="12304" width="3.5546875" style="634" customWidth="1"/>
    <col min="12305" max="12544" width="9.109375" style="634"/>
    <col min="12545" max="12545" width="4.44140625" style="634" customWidth="1"/>
    <col min="12546" max="12546" width="9.5546875" style="634" customWidth="1"/>
    <col min="12547" max="12547" width="15.109375" style="634" customWidth="1"/>
    <col min="12548" max="12548" width="14.6640625" style="634" customWidth="1"/>
    <col min="12549" max="12549" width="11.88671875" style="634" customWidth="1"/>
    <col min="12550" max="12550" width="12.88671875" style="634" customWidth="1"/>
    <col min="12551" max="12551" width="5.6640625" style="634" customWidth="1"/>
    <col min="12552" max="12552" width="9.44140625" style="634" customWidth="1"/>
    <col min="12553" max="12553" width="6.44140625" style="634" customWidth="1"/>
    <col min="12554" max="12554" width="4.5546875" style="634" customWidth="1"/>
    <col min="12555" max="12555" width="8.5546875" style="634" customWidth="1"/>
    <col min="12556" max="12556" width="15.109375" style="634" customWidth="1"/>
    <col min="12557" max="12557" width="8.109375" style="634" customWidth="1"/>
    <col min="12558" max="12558" width="7.109375" style="634" customWidth="1"/>
    <col min="12559" max="12559" width="19.6640625" style="634" customWidth="1"/>
    <col min="12560" max="12560" width="3.5546875" style="634" customWidth="1"/>
    <col min="12561" max="12800" width="9.109375" style="634"/>
    <col min="12801" max="12801" width="4.44140625" style="634" customWidth="1"/>
    <col min="12802" max="12802" width="9.5546875" style="634" customWidth="1"/>
    <col min="12803" max="12803" width="15.109375" style="634" customWidth="1"/>
    <col min="12804" max="12804" width="14.6640625" style="634" customWidth="1"/>
    <col min="12805" max="12805" width="11.88671875" style="634" customWidth="1"/>
    <col min="12806" max="12806" width="12.88671875" style="634" customWidth="1"/>
    <col min="12807" max="12807" width="5.6640625" style="634" customWidth="1"/>
    <col min="12808" max="12808" width="9.44140625" style="634" customWidth="1"/>
    <col min="12809" max="12809" width="6.44140625" style="634" customWidth="1"/>
    <col min="12810" max="12810" width="4.5546875" style="634" customWidth="1"/>
    <col min="12811" max="12811" width="8.5546875" style="634" customWidth="1"/>
    <col min="12812" max="12812" width="15.109375" style="634" customWidth="1"/>
    <col min="12813" max="12813" width="8.109375" style="634" customWidth="1"/>
    <col min="12814" max="12814" width="7.109375" style="634" customWidth="1"/>
    <col min="12815" max="12815" width="19.6640625" style="634" customWidth="1"/>
    <col min="12816" max="12816" width="3.5546875" style="634" customWidth="1"/>
    <col min="12817" max="13056" width="9.109375" style="634"/>
    <col min="13057" max="13057" width="4.44140625" style="634" customWidth="1"/>
    <col min="13058" max="13058" width="9.5546875" style="634" customWidth="1"/>
    <col min="13059" max="13059" width="15.109375" style="634" customWidth="1"/>
    <col min="13060" max="13060" width="14.6640625" style="634" customWidth="1"/>
    <col min="13061" max="13061" width="11.88671875" style="634" customWidth="1"/>
    <col min="13062" max="13062" width="12.88671875" style="634" customWidth="1"/>
    <col min="13063" max="13063" width="5.6640625" style="634" customWidth="1"/>
    <col min="13064" max="13064" width="9.44140625" style="634" customWidth="1"/>
    <col min="13065" max="13065" width="6.44140625" style="634" customWidth="1"/>
    <col min="13066" max="13066" width="4.5546875" style="634" customWidth="1"/>
    <col min="13067" max="13067" width="8.5546875" style="634" customWidth="1"/>
    <col min="13068" max="13068" width="15.109375" style="634" customWidth="1"/>
    <col min="13069" max="13069" width="8.109375" style="634" customWidth="1"/>
    <col min="13070" max="13070" width="7.109375" style="634" customWidth="1"/>
    <col min="13071" max="13071" width="19.6640625" style="634" customWidth="1"/>
    <col min="13072" max="13072" width="3.5546875" style="634" customWidth="1"/>
    <col min="13073" max="13312" width="9.109375" style="634"/>
    <col min="13313" max="13313" width="4.44140625" style="634" customWidth="1"/>
    <col min="13314" max="13314" width="9.5546875" style="634" customWidth="1"/>
    <col min="13315" max="13315" width="15.109375" style="634" customWidth="1"/>
    <col min="13316" max="13316" width="14.6640625" style="634" customWidth="1"/>
    <col min="13317" max="13317" width="11.88671875" style="634" customWidth="1"/>
    <col min="13318" max="13318" width="12.88671875" style="634" customWidth="1"/>
    <col min="13319" max="13319" width="5.6640625" style="634" customWidth="1"/>
    <col min="13320" max="13320" width="9.44140625" style="634" customWidth="1"/>
    <col min="13321" max="13321" width="6.44140625" style="634" customWidth="1"/>
    <col min="13322" max="13322" width="4.5546875" style="634" customWidth="1"/>
    <col min="13323" max="13323" width="8.5546875" style="634" customWidth="1"/>
    <col min="13324" max="13324" width="15.109375" style="634" customWidth="1"/>
    <col min="13325" max="13325" width="8.109375" style="634" customWidth="1"/>
    <col min="13326" max="13326" width="7.109375" style="634" customWidth="1"/>
    <col min="13327" max="13327" width="19.6640625" style="634" customWidth="1"/>
    <col min="13328" max="13328" width="3.5546875" style="634" customWidth="1"/>
    <col min="13329" max="13568" width="9.109375" style="634"/>
    <col min="13569" max="13569" width="4.44140625" style="634" customWidth="1"/>
    <col min="13570" max="13570" width="9.5546875" style="634" customWidth="1"/>
    <col min="13571" max="13571" width="15.109375" style="634" customWidth="1"/>
    <col min="13572" max="13572" width="14.6640625" style="634" customWidth="1"/>
    <col min="13573" max="13573" width="11.88671875" style="634" customWidth="1"/>
    <col min="13574" max="13574" width="12.88671875" style="634" customWidth="1"/>
    <col min="13575" max="13575" width="5.6640625" style="634" customWidth="1"/>
    <col min="13576" max="13576" width="9.44140625" style="634" customWidth="1"/>
    <col min="13577" max="13577" width="6.44140625" style="634" customWidth="1"/>
    <col min="13578" max="13578" width="4.5546875" style="634" customWidth="1"/>
    <col min="13579" max="13579" width="8.5546875" style="634" customWidth="1"/>
    <col min="13580" max="13580" width="15.109375" style="634" customWidth="1"/>
    <col min="13581" max="13581" width="8.109375" style="634" customWidth="1"/>
    <col min="13582" max="13582" width="7.109375" style="634" customWidth="1"/>
    <col min="13583" max="13583" width="19.6640625" style="634" customWidth="1"/>
    <col min="13584" max="13584" width="3.5546875" style="634" customWidth="1"/>
    <col min="13585" max="13824" width="9.109375" style="634"/>
    <col min="13825" max="13825" width="4.44140625" style="634" customWidth="1"/>
    <col min="13826" max="13826" width="9.5546875" style="634" customWidth="1"/>
    <col min="13827" max="13827" width="15.109375" style="634" customWidth="1"/>
    <col min="13828" max="13828" width="14.6640625" style="634" customWidth="1"/>
    <col min="13829" max="13829" width="11.88671875" style="634" customWidth="1"/>
    <col min="13830" max="13830" width="12.88671875" style="634" customWidth="1"/>
    <col min="13831" max="13831" width="5.6640625" style="634" customWidth="1"/>
    <col min="13832" max="13832" width="9.44140625" style="634" customWidth="1"/>
    <col min="13833" max="13833" width="6.44140625" style="634" customWidth="1"/>
    <col min="13834" max="13834" width="4.5546875" style="634" customWidth="1"/>
    <col min="13835" max="13835" width="8.5546875" style="634" customWidth="1"/>
    <col min="13836" max="13836" width="15.109375" style="634" customWidth="1"/>
    <col min="13837" max="13837" width="8.109375" style="634" customWidth="1"/>
    <col min="13838" max="13838" width="7.109375" style="634" customWidth="1"/>
    <col min="13839" max="13839" width="19.6640625" style="634" customWidth="1"/>
    <col min="13840" max="13840" width="3.5546875" style="634" customWidth="1"/>
    <col min="13841" max="14080" width="9.109375" style="634"/>
    <col min="14081" max="14081" width="4.44140625" style="634" customWidth="1"/>
    <col min="14082" max="14082" width="9.5546875" style="634" customWidth="1"/>
    <col min="14083" max="14083" width="15.109375" style="634" customWidth="1"/>
    <col min="14084" max="14084" width="14.6640625" style="634" customWidth="1"/>
    <col min="14085" max="14085" width="11.88671875" style="634" customWidth="1"/>
    <col min="14086" max="14086" width="12.88671875" style="634" customWidth="1"/>
    <col min="14087" max="14087" width="5.6640625" style="634" customWidth="1"/>
    <col min="14088" max="14088" width="9.44140625" style="634" customWidth="1"/>
    <col min="14089" max="14089" width="6.44140625" style="634" customWidth="1"/>
    <col min="14090" max="14090" width="4.5546875" style="634" customWidth="1"/>
    <col min="14091" max="14091" width="8.5546875" style="634" customWidth="1"/>
    <col min="14092" max="14092" width="15.109375" style="634" customWidth="1"/>
    <col min="14093" max="14093" width="8.109375" style="634" customWidth="1"/>
    <col min="14094" max="14094" width="7.109375" style="634" customWidth="1"/>
    <col min="14095" max="14095" width="19.6640625" style="634" customWidth="1"/>
    <col min="14096" max="14096" width="3.5546875" style="634" customWidth="1"/>
    <col min="14097" max="14336" width="9.109375" style="634"/>
    <col min="14337" max="14337" width="4.44140625" style="634" customWidth="1"/>
    <col min="14338" max="14338" width="9.5546875" style="634" customWidth="1"/>
    <col min="14339" max="14339" width="15.109375" style="634" customWidth="1"/>
    <col min="14340" max="14340" width="14.6640625" style="634" customWidth="1"/>
    <col min="14341" max="14341" width="11.88671875" style="634" customWidth="1"/>
    <col min="14342" max="14342" width="12.88671875" style="634" customWidth="1"/>
    <col min="14343" max="14343" width="5.6640625" style="634" customWidth="1"/>
    <col min="14344" max="14344" width="9.44140625" style="634" customWidth="1"/>
    <col min="14345" max="14345" width="6.44140625" style="634" customWidth="1"/>
    <col min="14346" max="14346" width="4.5546875" style="634" customWidth="1"/>
    <col min="14347" max="14347" width="8.5546875" style="634" customWidth="1"/>
    <col min="14348" max="14348" width="15.109375" style="634" customWidth="1"/>
    <col min="14349" max="14349" width="8.109375" style="634" customWidth="1"/>
    <col min="14350" max="14350" width="7.109375" style="634" customWidth="1"/>
    <col min="14351" max="14351" width="19.6640625" style="634" customWidth="1"/>
    <col min="14352" max="14352" width="3.5546875" style="634" customWidth="1"/>
    <col min="14353" max="14592" width="9.109375" style="634"/>
    <col min="14593" max="14593" width="4.44140625" style="634" customWidth="1"/>
    <col min="14594" max="14594" width="9.5546875" style="634" customWidth="1"/>
    <col min="14595" max="14595" width="15.109375" style="634" customWidth="1"/>
    <col min="14596" max="14596" width="14.6640625" style="634" customWidth="1"/>
    <col min="14597" max="14597" width="11.88671875" style="634" customWidth="1"/>
    <col min="14598" max="14598" width="12.88671875" style="634" customWidth="1"/>
    <col min="14599" max="14599" width="5.6640625" style="634" customWidth="1"/>
    <col min="14600" max="14600" width="9.44140625" style="634" customWidth="1"/>
    <col min="14601" max="14601" width="6.44140625" style="634" customWidth="1"/>
    <col min="14602" max="14602" width="4.5546875" style="634" customWidth="1"/>
    <col min="14603" max="14603" width="8.5546875" style="634" customWidth="1"/>
    <col min="14604" max="14604" width="15.109375" style="634" customWidth="1"/>
    <col min="14605" max="14605" width="8.109375" style="634" customWidth="1"/>
    <col min="14606" max="14606" width="7.109375" style="634" customWidth="1"/>
    <col min="14607" max="14607" width="19.6640625" style="634" customWidth="1"/>
    <col min="14608" max="14608" width="3.5546875" style="634" customWidth="1"/>
    <col min="14609" max="14848" width="9.109375" style="634"/>
    <col min="14849" max="14849" width="4.44140625" style="634" customWidth="1"/>
    <col min="14850" max="14850" width="9.5546875" style="634" customWidth="1"/>
    <col min="14851" max="14851" width="15.109375" style="634" customWidth="1"/>
    <col min="14852" max="14852" width="14.6640625" style="634" customWidth="1"/>
    <col min="14853" max="14853" width="11.88671875" style="634" customWidth="1"/>
    <col min="14854" max="14854" width="12.88671875" style="634" customWidth="1"/>
    <col min="14855" max="14855" width="5.6640625" style="634" customWidth="1"/>
    <col min="14856" max="14856" width="9.44140625" style="634" customWidth="1"/>
    <col min="14857" max="14857" width="6.44140625" style="634" customWidth="1"/>
    <col min="14858" max="14858" width="4.5546875" style="634" customWidth="1"/>
    <col min="14859" max="14859" width="8.5546875" style="634" customWidth="1"/>
    <col min="14860" max="14860" width="15.109375" style="634" customWidth="1"/>
    <col min="14861" max="14861" width="8.109375" style="634" customWidth="1"/>
    <col min="14862" max="14862" width="7.109375" style="634" customWidth="1"/>
    <col min="14863" max="14863" width="19.6640625" style="634" customWidth="1"/>
    <col min="14864" max="14864" width="3.5546875" style="634" customWidth="1"/>
    <col min="14865" max="15104" width="9.109375" style="634"/>
    <col min="15105" max="15105" width="4.44140625" style="634" customWidth="1"/>
    <col min="15106" max="15106" width="9.5546875" style="634" customWidth="1"/>
    <col min="15107" max="15107" width="15.109375" style="634" customWidth="1"/>
    <col min="15108" max="15108" width="14.6640625" style="634" customWidth="1"/>
    <col min="15109" max="15109" width="11.88671875" style="634" customWidth="1"/>
    <col min="15110" max="15110" width="12.88671875" style="634" customWidth="1"/>
    <col min="15111" max="15111" width="5.6640625" style="634" customWidth="1"/>
    <col min="15112" max="15112" width="9.44140625" style="634" customWidth="1"/>
    <col min="15113" max="15113" width="6.44140625" style="634" customWidth="1"/>
    <col min="15114" max="15114" width="4.5546875" style="634" customWidth="1"/>
    <col min="15115" max="15115" width="8.5546875" style="634" customWidth="1"/>
    <col min="15116" max="15116" width="15.109375" style="634" customWidth="1"/>
    <col min="15117" max="15117" width="8.109375" style="634" customWidth="1"/>
    <col min="15118" max="15118" width="7.109375" style="634" customWidth="1"/>
    <col min="15119" max="15119" width="19.6640625" style="634" customWidth="1"/>
    <col min="15120" max="15120" width="3.5546875" style="634" customWidth="1"/>
    <col min="15121" max="15360" width="9.109375" style="634"/>
    <col min="15361" max="15361" width="4.44140625" style="634" customWidth="1"/>
    <col min="15362" max="15362" width="9.5546875" style="634" customWidth="1"/>
    <col min="15363" max="15363" width="15.109375" style="634" customWidth="1"/>
    <col min="15364" max="15364" width="14.6640625" style="634" customWidth="1"/>
    <col min="15365" max="15365" width="11.88671875" style="634" customWidth="1"/>
    <col min="15366" max="15366" width="12.88671875" style="634" customWidth="1"/>
    <col min="15367" max="15367" width="5.6640625" style="634" customWidth="1"/>
    <col min="15368" max="15368" width="9.44140625" style="634" customWidth="1"/>
    <col min="15369" max="15369" width="6.44140625" style="634" customWidth="1"/>
    <col min="15370" max="15370" width="4.5546875" style="634" customWidth="1"/>
    <col min="15371" max="15371" width="8.5546875" style="634" customWidth="1"/>
    <col min="15372" max="15372" width="15.109375" style="634" customWidth="1"/>
    <col min="15373" max="15373" width="8.109375" style="634" customWidth="1"/>
    <col min="15374" max="15374" width="7.109375" style="634" customWidth="1"/>
    <col min="15375" max="15375" width="19.6640625" style="634" customWidth="1"/>
    <col min="15376" max="15376" width="3.5546875" style="634" customWidth="1"/>
    <col min="15377" max="15616" width="9.109375" style="634"/>
    <col min="15617" max="15617" width="4.44140625" style="634" customWidth="1"/>
    <col min="15618" max="15618" width="9.5546875" style="634" customWidth="1"/>
    <col min="15619" max="15619" width="15.109375" style="634" customWidth="1"/>
    <col min="15620" max="15620" width="14.6640625" style="634" customWidth="1"/>
    <col min="15621" max="15621" width="11.88671875" style="634" customWidth="1"/>
    <col min="15622" max="15622" width="12.88671875" style="634" customWidth="1"/>
    <col min="15623" max="15623" width="5.6640625" style="634" customWidth="1"/>
    <col min="15624" max="15624" width="9.44140625" style="634" customWidth="1"/>
    <col min="15625" max="15625" width="6.44140625" style="634" customWidth="1"/>
    <col min="15626" max="15626" width="4.5546875" style="634" customWidth="1"/>
    <col min="15627" max="15627" width="8.5546875" style="634" customWidth="1"/>
    <col min="15628" max="15628" width="15.109375" style="634" customWidth="1"/>
    <col min="15629" max="15629" width="8.109375" style="634" customWidth="1"/>
    <col min="15630" max="15630" width="7.109375" style="634" customWidth="1"/>
    <col min="15631" max="15631" width="19.6640625" style="634" customWidth="1"/>
    <col min="15632" max="15632" width="3.5546875" style="634" customWidth="1"/>
    <col min="15633" max="15872" width="9.109375" style="634"/>
    <col min="15873" max="15873" width="4.44140625" style="634" customWidth="1"/>
    <col min="15874" max="15874" width="9.5546875" style="634" customWidth="1"/>
    <col min="15875" max="15875" width="15.109375" style="634" customWidth="1"/>
    <col min="15876" max="15876" width="14.6640625" style="634" customWidth="1"/>
    <col min="15877" max="15877" width="11.88671875" style="634" customWidth="1"/>
    <col min="15878" max="15878" width="12.88671875" style="634" customWidth="1"/>
    <col min="15879" max="15879" width="5.6640625" style="634" customWidth="1"/>
    <col min="15880" max="15880" width="9.44140625" style="634" customWidth="1"/>
    <col min="15881" max="15881" width="6.44140625" style="634" customWidth="1"/>
    <col min="15882" max="15882" width="4.5546875" style="634" customWidth="1"/>
    <col min="15883" max="15883" width="8.5546875" style="634" customWidth="1"/>
    <col min="15884" max="15884" width="15.109375" style="634" customWidth="1"/>
    <col min="15885" max="15885" width="8.109375" style="634" customWidth="1"/>
    <col min="15886" max="15886" width="7.109375" style="634" customWidth="1"/>
    <col min="15887" max="15887" width="19.6640625" style="634" customWidth="1"/>
    <col min="15888" max="15888" width="3.5546875" style="634" customWidth="1"/>
    <col min="15889" max="16128" width="9.109375" style="634"/>
    <col min="16129" max="16129" width="4.44140625" style="634" customWidth="1"/>
    <col min="16130" max="16130" width="9.5546875" style="634" customWidth="1"/>
    <col min="16131" max="16131" width="15.109375" style="634" customWidth="1"/>
    <col min="16132" max="16132" width="14.6640625" style="634" customWidth="1"/>
    <col min="16133" max="16133" width="11.88671875" style="634" customWidth="1"/>
    <col min="16134" max="16134" width="12.88671875" style="634" customWidth="1"/>
    <col min="16135" max="16135" width="5.6640625" style="634" customWidth="1"/>
    <col min="16136" max="16136" width="9.44140625" style="634" customWidth="1"/>
    <col min="16137" max="16137" width="6.44140625" style="634" customWidth="1"/>
    <col min="16138" max="16138" width="4.5546875" style="634" customWidth="1"/>
    <col min="16139" max="16139" width="8.5546875" style="634" customWidth="1"/>
    <col min="16140" max="16140" width="15.109375" style="634" customWidth="1"/>
    <col min="16141" max="16141" width="8.109375" style="634" customWidth="1"/>
    <col min="16142" max="16142" width="7.109375" style="634" customWidth="1"/>
    <col min="16143" max="16143" width="19.6640625" style="634" customWidth="1"/>
    <col min="16144" max="16144" width="3.5546875" style="634" customWidth="1"/>
    <col min="16145" max="16384" width="9.109375" style="634"/>
  </cols>
  <sheetData>
    <row r="1" spans="1:32" s="478" customFormat="1" ht="18.600000000000001" customHeight="1">
      <c r="A1" s="475"/>
      <c r="B1" s="476"/>
      <c r="C1" s="476"/>
      <c r="D1" s="477"/>
      <c r="E1" s="477"/>
      <c r="G1" s="479" t="s">
        <v>266</v>
      </c>
      <c r="I1" s="479"/>
      <c r="J1" s="1011" t="str">
        <f>'Base Budget'!C38</f>
        <v>PI name</v>
      </c>
      <c r="K1" s="1011"/>
      <c r="L1" s="1011"/>
      <c r="M1" s="480"/>
      <c r="N1" s="481"/>
      <c r="O1" s="482"/>
      <c r="P1" s="483"/>
    </row>
    <row r="2" spans="1:32" s="487" customFormat="1" ht="18" customHeight="1">
      <c r="A2" s="484" t="s">
        <v>267</v>
      </c>
      <c r="B2" s="485"/>
      <c r="C2" s="485"/>
      <c r="D2" s="485"/>
      <c r="E2" s="485"/>
      <c r="F2" s="485"/>
      <c r="G2" s="485"/>
      <c r="H2" s="485"/>
      <c r="I2" s="485"/>
      <c r="J2" s="485"/>
      <c r="K2" s="485"/>
      <c r="L2" s="485"/>
      <c r="M2" s="485"/>
      <c r="N2" s="486"/>
      <c r="O2" s="486"/>
    </row>
    <row r="3" spans="1:32" s="487" customFormat="1" ht="19.5" customHeight="1">
      <c r="A3" s="488" t="s">
        <v>268</v>
      </c>
      <c r="B3" s="489"/>
      <c r="C3" s="489"/>
      <c r="D3" s="489"/>
      <c r="E3" s="489"/>
      <c r="F3" s="490" t="s">
        <v>14</v>
      </c>
      <c r="G3" s="489"/>
      <c r="H3" s="489"/>
      <c r="I3" s="489"/>
      <c r="J3" s="489"/>
      <c r="K3" s="489"/>
      <c r="L3" s="489"/>
      <c r="M3" s="489"/>
      <c r="N3" s="491"/>
      <c r="O3" s="491"/>
    </row>
    <row r="4" spans="1:32" s="487" customFormat="1" ht="21" customHeight="1">
      <c r="A4" s="492"/>
      <c r="B4" s="493" t="s">
        <v>269</v>
      </c>
      <c r="C4" s="494"/>
      <c r="D4" s="494"/>
      <c r="E4" s="494"/>
      <c r="F4" s="494"/>
      <c r="G4" s="494"/>
      <c r="H4" s="494"/>
      <c r="I4" s="494"/>
      <c r="J4" s="494"/>
      <c r="K4" s="494"/>
      <c r="L4" s="494"/>
      <c r="M4" s="494"/>
      <c r="N4" s="491"/>
      <c r="O4" s="491"/>
    </row>
    <row r="5" spans="1:32" s="487" customFormat="1" ht="19.5" customHeight="1">
      <c r="A5" s="492" t="s">
        <v>14</v>
      </c>
      <c r="B5" s="493" t="s">
        <v>270</v>
      </c>
      <c r="C5" s="495"/>
      <c r="D5" s="495"/>
      <c r="E5" s="495"/>
      <c r="F5" s="496" t="s">
        <v>14</v>
      </c>
      <c r="G5" s="497"/>
      <c r="H5" s="497"/>
      <c r="I5" s="498"/>
      <c r="J5" s="498"/>
      <c r="K5" s="499"/>
      <c r="L5" s="499"/>
      <c r="M5" s="499"/>
      <c r="N5" s="500"/>
      <c r="O5" s="500"/>
    </row>
    <row r="6" spans="1:32" s="487" customFormat="1" ht="22.5" customHeight="1">
      <c r="A6" s="489"/>
      <c r="B6" s="501" t="s">
        <v>271</v>
      </c>
      <c r="C6" s="502"/>
      <c r="D6" s="502"/>
      <c r="E6" s="502"/>
      <c r="F6" s="502"/>
      <c r="G6" s="502"/>
      <c r="H6" s="502"/>
      <c r="I6" s="489"/>
      <c r="J6" s="489"/>
      <c r="K6" s="489"/>
      <c r="L6" s="489"/>
      <c r="M6" s="489"/>
      <c r="N6" s="491"/>
      <c r="O6" s="491"/>
      <c r="P6" s="503"/>
      <c r="R6" s="492"/>
      <c r="AF6" s="504"/>
    </row>
    <row r="7" spans="1:32" s="487" customFormat="1" ht="21.15" customHeight="1">
      <c r="A7" s="494"/>
      <c r="B7" s="493" t="s">
        <v>272</v>
      </c>
      <c r="C7" s="495"/>
      <c r="D7" s="495"/>
      <c r="E7" s="497"/>
      <c r="F7" s="497"/>
      <c r="G7" s="497"/>
      <c r="H7" s="505"/>
      <c r="I7" s="506"/>
      <c r="J7" s="507"/>
      <c r="P7" s="503"/>
      <c r="R7" s="508"/>
      <c r="AF7" s="504"/>
    </row>
    <row r="8" spans="1:32" s="487" customFormat="1" ht="14.1" customHeight="1">
      <c r="A8" s="494"/>
      <c r="B8" s="507" t="s">
        <v>273</v>
      </c>
      <c r="C8" s="495"/>
      <c r="D8" s="495"/>
      <c r="E8" s="495"/>
      <c r="F8" s="495"/>
      <c r="G8" s="495"/>
      <c r="I8" s="509"/>
      <c r="J8" s="507"/>
      <c r="K8" s="1012"/>
      <c r="P8" s="503"/>
      <c r="R8" s="508"/>
      <c r="S8" s="510"/>
      <c r="W8" s="494"/>
      <c r="X8" s="494"/>
      <c r="Y8" s="494"/>
      <c r="Z8" s="494"/>
      <c r="AA8" s="494"/>
      <c r="AB8" s="494"/>
      <c r="AC8" s="494"/>
      <c r="AD8" s="494"/>
      <c r="AE8" s="491"/>
      <c r="AF8" s="491"/>
    </row>
    <row r="9" spans="1:32" s="487" customFormat="1" ht="11.25" customHeight="1">
      <c r="A9" s="492" t="s">
        <v>14</v>
      </c>
      <c r="C9" s="495"/>
      <c r="D9" s="495"/>
      <c r="E9" s="495"/>
      <c r="F9" s="511"/>
      <c r="G9" s="512"/>
      <c r="H9" s="513"/>
      <c r="J9" s="514" t="s">
        <v>14</v>
      </c>
      <c r="K9" s="1012"/>
      <c r="P9" s="503"/>
      <c r="S9" s="510"/>
    </row>
    <row r="10" spans="1:32" s="516" customFormat="1" ht="19.5" customHeight="1">
      <c r="A10" s="492" t="s">
        <v>14</v>
      </c>
      <c r="B10" s="493" t="s">
        <v>274</v>
      </c>
      <c r="C10" s="495"/>
      <c r="D10" s="495"/>
      <c r="E10" s="497"/>
      <c r="F10" s="496" t="s">
        <v>14</v>
      </c>
      <c r="G10" s="497"/>
      <c r="H10" s="497"/>
      <c r="I10" s="498"/>
      <c r="J10" s="515" t="s">
        <v>14</v>
      </c>
      <c r="K10" s="510"/>
      <c r="P10" s="503"/>
      <c r="S10" s="517"/>
      <c r="V10" s="517"/>
    </row>
    <row r="11" spans="1:32" s="516" customFormat="1" ht="19.5" customHeight="1">
      <c r="A11" s="518"/>
      <c r="B11" s="501" t="s">
        <v>275</v>
      </c>
      <c r="C11" s="519"/>
      <c r="D11" s="519"/>
      <c r="E11" s="519"/>
      <c r="F11" s="519"/>
      <c r="G11" s="519"/>
      <c r="H11" s="519"/>
      <c r="I11" s="520"/>
      <c r="P11" s="503"/>
    </row>
    <row r="12" spans="1:32" s="487" customFormat="1" ht="19.5" customHeight="1">
      <c r="A12" s="492" t="s">
        <v>14</v>
      </c>
      <c r="B12" s="493" t="s">
        <v>276</v>
      </c>
      <c r="C12" s="495"/>
      <c r="D12" s="495"/>
      <c r="E12" s="495"/>
      <c r="F12" s="495"/>
      <c r="G12" s="495"/>
      <c r="H12" s="495"/>
      <c r="I12" s="494"/>
      <c r="J12" s="494"/>
      <c r="K12" s="494" t="s">
        <v>14</v>
      </c>
      <c r="L12" s="494"/>
      <c r="M12" s="494"/>
      <c r="N12" s="491"/>
      <c r="O12" s="491"/>
      <c r="P12" s="503"/>
    </row>
    <row r="13" spans="1:32" s="487" customFormat="1" ht="20.25" customHeight="1">
      <c r="A13" s="494"/>
      <c r="B13" s="493" t="s">
        <v>277</v>
      </c>
      <c r="C13" s="502"/>
      <c r="D13" s="502"/>
      <c r="E13" s="502"/>
      <c r="F13" s="521"/>
      <c r="G13" s="522" t="s">
        <v>14</v>
      </c>
      <c r="H13" s="497"/>
      <c r="I13" s="498"/>
      <c r="J13" s="498"/>
      <c r="K13" s="499"/>
      <c r="L13" s="499"/>
      <c r="M13" s="499"/>
      <c r="N13" s="500"/>
      <c r="O13" s="500"/>
      <c r="P13" s="503"/>
    </row>
    <row r="14" spans="1:32" s="487" customFormat="1" ht="22.5" customHeight="1">
      <c r="A14" s="492" t="s">
        <v>14</v>
      </c>
      <c r="B14" s="493" t="s">
        <v>278</v>
      </c>
      <c r="C14" s="495"/>
      <c r="D14" s="495"/>
      <c r="E14" s="495"/>
      <c r="F14" s="495"/>
      <c r="G14" s="523"/>
      <c r="H14" s="523"/>
      <c r="I14" s="524"/>
      <c r="J14" s="524"/>
      <c r="K14" s="524" t="s">
        <v>14</v>
      </c>
      <c r="L14" s="524"/>
      <c r="M14" s="524"/>
      <c r="N14" s="525"/>
      <c r="O14" s="525"/>
      <c r="P14" s="503"/>
    </row>
    <row r="15" spans="1:32" s="487" customFormat="1" ht="29.25" customHeight="1">
      <c r="A15" s="492" t="s">
        <v>14</v>
      </c>
      <c r="B15" s="526" t="s">
        <v>279</v>
      </c>
      <c r="C15" s="502"/>
      <c r="D15" s="526" t="s">
        <v>280</v>
      </c>
      <c r="E15" s="493"/>
      <c r="F15" s="495"/>
      <c r="G15" s="495"/>
      <c r="H15" s="527"/>
      <c r="I15" s="1013" t="s">
        <v>281</v>
      </c>
      <c r="J15" s="1013"/>
      <c r="K15" s="1013"/>
      <c r="L15" s="528"/>
      <c r="M15" s="528"/>
      <c r="N15" s="529"/>
      <c r="O15" s="529"/>
      <c r="P15" s="503"/>
    </row>
    <row r="16" spans="1:32" s="487" customFormat="1" ht="22.5" customHeight="1">
      <c r="A16" s="530" t="s">
        <v>282</v>
      </c>
      <c r="B16" s="531"/>
      <c r="C16" s="532"/>
      <c r="D16" s="531"/>
      <c r="E16" s="531"/>
      <c r="F16" s="531" t="s">
        <v>283</v>
      </c>
      <c r="G16" s="531" t="s">
        <v>284</v>
      </c>
      <c r="H16" s="533"/>
      <c r="I16" s="534"/>
      <c r="J16" s="535"/>
      <c r="K16" s="536"/>
      <c r="L16" s="528"/>
      <c r="M16" s="528"/>
      <c r="N16" s="529"/>
      <c r="O16" s="529"/>
      <c r="P16" s="503"/>
    </row>
    <row r="17" spans="1:18" s="487" customFormat="1" ht="22.5" customHeight="1">
      <c r="A17" s="537"/>
      <c r="B17" s="538"/>
      <c r="C17" s="539"/>
      <c r="D17" s="538"/>
      <c r="E17" s="498"/>
      <c r="F17" s="497"/>
      <c r="G17" s="538" t="s">
        <v>285</v>
      </c>
      <c r="H17" s="505"/>
      <c r="I17" s="538" t="s">
        <v>286</v>
      </c>
      <c r="J17" s="505"/>
      <c r="K17" s="540"/>
      <c r="L17" s="538"/>
      <c r="M17" s="505"/>
      <c r="N17" s="505"/>
      <c r="O17" s="541" t="s">
        <v>287</v>
      </c>
      <c r="P17" s="503"/>
    </row>
    <row r="18" spans="1:18" s="546" customFormat="1" ht="13.5" customHeight="1">
      <c r="A18" s="542" t="s">
        <v>288</v>
      </c>
      <c r="B18" s="543"/>
      <c r="C18" s="494"/>
      <c r="D18" s="494"/>
      <c r="E18" s="494"/>
      <c r="F18" s="544"/>
      <c r="G18" s="494"/>
      <c r="H18" s="494"/>
      <c r="I18" s="494"/>
      <c r="J18" s="494"/>
      <c r="K18" s="494"/>
      <c r="L18" s="494"/>
      <c r="M18" s="494"/>
      <c r="N18" s="545"/>
      <c r="O18" s="545"/>
      <c r="P18" s="503"/>
    </row>
    <row r="19" spans="1:18" s="552" customFormat="1" ht="14.25" customHeight="1">
      <c r="A19" s="547" t="s">
        <v>93</v>
      </c>
      <c r="B19" s="548"/>
      <c r="C19" s="549"/>
      <c r="D19" s="549"/>
      <c r="E19" s="549"/>
      <c r="F19" s="550"/>
      <c r="G19" s="549"/>
      <c r="H19" s="549"/>
      <c r="I19" s="549"/>
      <c r="J19" s="549"/>
      <c r="K19" s="549"/>
      <c r="L19" s="549"/>
      <c r="M19" s="549"/>
      <c r="N19" s="551"/>
      <c r="O19" s="551"/>
      <c r="P19" s="503"/>
      <c r="R19" s="552" t="s">
        <v>14</v>
      </c>
    </row>
    <row r="20" spans="1:18" s="557" customFormat="1" ht="14.25" customHeight="1">
      <c r="A20" s="553" t="s">
        <v>56</v>
      </c>
      <c r="B20" s="554"/>
      <c r="C20" s="520"/>
      <c r="D20" s="520"/>
      <c r="E20" s="520"/>
      <c r="F20" s="555"/>
      <c r="G20" s="520"/>
      <c r="H20" s="520"/>
      <c r="I20" s="520"/>
      <c r="J20" s="520"/>
      <c r="K20" s="520"/>
      <c r="L20" s="520"/>
      <c r="M20" s="520"/>
      <c r="N20" s="556"/>
      <c r="O20" s="556"/>
      <c r="P20" s="503"/>
    </row>
    <row r="21" spans="1:18" s="552" customFormat="1" ht="13.5" customHeight="1">
      <c r="A21" s="558" t="s">
        <v>289</v>
      </c>
      <c r="B21" s="559"/>
      <c r="C21" s="560"/>
      <c r="D21" s="561" t="s">
        <v>290</v>
      </c>
      <c r="E21" s="560"/>
      <c r="F21" s="560"/>
      <c r="G21" s="560"/>
      <c r="H21" s="562"/>
      <c r="I21" s="561"/>
      <c r="J21" s="563"/>
      <c r="K21" s="564" t="s">
        <v>291</v>
      </c>
      <c r="L21" s="564"/>
      <c r="M21" s="564"/>
      <c r="N21" s="565"/>
      <c r="O21" s="565"/>
      <c r="P21" s="503"/>
      <c r="Q21" s="552" t="s">
        <v>14</v>
      </c>
    </row>
    <row r="22" spans="1:18" s="557" customFormat="1" ht="15" customHeight="1">
      <c r="A22" s="566"/>
      <c r="B22" s="566" t="s">
        <v>292</v>
      </c>
      <c r="C22" s="567"/>
      <c r="D22" s="568"/>
      <c r="E22" s="566" t="s">
        <v>292</v>
      </c>
      <c r="F22" s="566"/>
      <c r="G22" s="568"/>
      <c r="H22" s="569"/>
      <c r="I22" s="570"/>
      <c r="J22" s="571"/>
      <c r="K22" s="571" t="s">
        <v>292</v>
      </c>
      <c r="L22" s="571"/>
      <c r="M22" s="571"/>
      <c r="N22" s="572"/>
      <c r="O22" s="572"/>
      <c r="P22" s="503"/>
    </row>
    <row r="23" spans="1:18" s="557" customFormat="1" ht="15" customHeight="1">
      <c r="A23" s="566"/>
      <c r="B23" s="566"/>
      <c r="C23" s="568"/>
      <c r="D23" s="568"/>
      <c r="E23" s="566"/>
      <c r="F23" s="566"/>
      <c r="G23" s="568"/>
      <c r="H23" s="569"/>
      <c r="I23" s="569"/>
      <c r="J23" s="571"/>
      <c r="K23" s="571"/>
      <c r="L23" s="571"/>
      <c r="M23" s="571"/>
      <c r="N23" s="572"/>
      <c r="O23" s="572"/>
      <c r="P23" s="503"/>
    </row>
    <row r="24" spans="1:18" s="557" customFormat="1" ht="10.5" customHeight="1">
      <c r="A24" s="571"/>
      <c r="B24" s="571"/>
      <c r="C24" s="569"/>
      <c r="D24" s="569"/>
      <c r="E24" s="571"/>
      <c r="F24" s="571"/>
      <c r="G24" s="569"/>
      <c r="H24" s="569"/>
      <c r="I24" s="569"/>
      <c r="J24" s="571"/>
      <c r="K24" s="571"/>
      <c r="L24" s="571"/>
      <c r="M24" s="571"/>
      <c r="N24" s="572"/>
      <c r="O24" s="572"/>
      <c r="P24" s="503"/>
    </row>
    <row r="25" spans="1:18" s="557" customFormat="1" ht="4.5" customHeight="1">
      <c r="A25" s="573"/>
      <c r="B25" s="573"/>
      <c r="C25" s="573"/>
      <c r="D25" s="573"/>
      <c r="E25" s="573"/>
      <c r="F25" s="573"/>
      <c r="G25" s="573"/>
      <c r="H25" s="573"/>
      <c r="I25" s="573"/>
      <c r="J25" s="573"/>
      <c r="K25" s="573"/>
      <c r="L25" s="573"/>
      <c r="M25" s="573"/>
      <c r="N25" s="574"/>
      <c r="O25" s="574"/>
      <c r="P25" s="503"/>
    </row>
    <row r="26" spans="1:18" s="557" customFormat="1" ht="14.1" customHeight="1">
      <c r="A26" s="575" t="s">
        <v>293</v>
      </c>
      <c r="B26" s="576"/>
      <c r="C26" s="576"/>
      <c r="D26" s="577"/>
      <c r="E26" s="577"/>
      <c r="F26" s="578"/>
      <c r="G26" s="577"/>
      <c r="H26" s="579"/>
      <c r="I26" s="580"/>
      <c r="J26" s="577"/>
      <c r="K26" s="577"/>
      <c r="L26" s="577"/>
      <c r="M26" s="577"/>
      <c r="N26" s="581"/>
      <c r="O26" s="581"/>
      <c r="P26" s="503"/>
    </row>
    <row r="27" spans="1:18" s="557" customFormat="1" ht="14.1" customHeight="1">
      <c r="A27" s="582" t="s">
        <v>294</v>
      </c>
      <c r="B27" s="576"/>
      <c r="C27" s="576"/>
      <c r="D27" s="583"/>
      <c r="E27" s="583"/>
      <c r="F27" s="584"/>
      <c r="G27" s="583"/>
      <c r="H27" s="585"/>
      <c r="I27" s="585"/>
      <c r="J27" s="583"/>
      <c r="K27" s="583"/>
      <c r="L27" s="583"/>
      <c r="M27" s="583"/>
      <c r="N27" s="586"/>
      <c r="O27" s="586"/>
      <c r="P27" s="587"/>
    </row>
    <row r="28" spans="1:18" s="557" customFormat="1" ht="14.1" customHeight="1">
      <c r="A28" s="582" t="s">
        <v>295</v>
      </c>
      <c r="B28" s="576"/>
      <c r="C28" s="576"/>
      <c r="D28" s="583"/>
      <c r="E28" s="583"/>
      <c r="F28" s="584"/>
      <c r="G28" s="583"/>
      <c r="H28" s="585"/>
      <c r="I28" s="585"/>
      <c r="J28" s="583"/>
      <c r="K28" s="583"/>
      <c r="L28" s="583"/>
      <c r="M28" s="583"/>
      <c r="N28" s="586"/>
      <c r="O28" s="586"/>
      <c r="P28" s="587"/>
    </row>
    <row r="29" spans="1:18" s="557" customFormat="1" ht="13.5" customHeight="1">
      <c r="A29" s="582" t="s">
        <v>296</v>
      </c>
      <c r="B29" s="576"/>
      <c r="C29" s="576"/>
      <c r="D29" s="583"/>
      <c r="E29" s="583"/>
      <c r="F29" s="584"/>
      <c r="G29" s="583"/>
      <c r="H29" s="585"/>
      <c r="I29" s="585"/>
      <c r="J29" s="583"/>
      <c r="K29" s="583"/>
      <c r="L29" s="583"/>
      <c r="M29" s="583"/>
      <c r="N29" s="586"/>
      <c r="O29" s="586"/>
      <c r="P29" s="587"/>
    </row>
    <row r="30" spans="1:18" s="592" customFormat="1" ht="18" customHeight="1">
      <c r="A30" s="588" t="s">
        <v>297</v>
      </c>
      <c r="B30" s="589"/>
      <c r="C30" s="590"/>
      <c r="D30" s="590"/>
      <c r="E30" s="590"/>
      <c r="F30" s="590"/>
      <c r="G30" s="590"/>
      <c r="H30" s="590"/>
      <c r="I30" s="590"/>
      <c r="J30" s="590"/>
      <c r="K30" s="590"/>
      <c r="L30" s="590"/>
      <c r="M30" s="590"/>
      <c r="N30" s="591"/>
      <c r="O30" s="591"/>
      <c r="P30" s="503"/>
    </row>
    <row r="31" spans="1:18" s="599" customFormat="1" ht="21.75" customHeight="1">
      <c r="A31" s="492" t="s">
        <v>328</v>
      </c>
      <c r="B31" s="593" t="s">
        <v>298</v>
      </c>
      <c r="C31" s="594"/>
      <c r="D31" s="595"/>
      <c r="E31" s="706">
        <v>41240</v>
      </c>
      <c r="F31" s="596"/>
      <c r="G31" s="597"/>
      <c r="H31" s="598" t="s">
        <v>14</v>
      </c>
      <c r="J31" s="600" t="s">
        <v>299</v>
      </c>
      <c r="K31" s="594"/>
      <c r="L31" s="594"/>
      <c r="M31" s="594"/>
      <c r="N31" s="594"/>
      <c r="O31" s="594"/>
      <c r="P31" s="503"/>
    </row>
    <row r="32" spans="1:18" s="599" customFormat="1" ht="21.75" customHeight="1">
      <c r="A32" s="492" t="s">
        <v>14</v>
      </c>
      <c r="B32" s="593" t="s">
        <v>300</v>
      </c>
      <c r="C32" s="594"/>
      <c r="D32" s="594"/>
      <c r="E32" s="601"/>
      <c r="F32" s="602" t="s">
        <v>14</v>
      </c>
      <c r="G32" s="603" t="s">
        <v>14</v>
      </c>
      <c r="H32" s="604"/>
      <c r="I32" s="604"/>
      <c r="J32" s="604"/>
      <c r="K32" s="605" t="s">
        <v>301</v>
      </c>
      <c r="L32" s="605"/>
      <c r="M32" s="605"/>
      <c r="N32" s="594"/>
      <c r="O32" s="594"/>
      <c r="P32" s="503"/>
    </row>
    <row r="33" spans="1:20" s="599" customFormat="1" ht="21.75" customHeight="1">
      <c r="A33" s="606" t="s">
        <v>14</v>
      </c>
      <c r="B33" s="593" t="s">
        <v>302</v>
      </c>
      <c r="C33" s="594"/>
      <c r="D33" s="594"/>
      <c r="E33" s="594"/>
      <c r="F33" s="602" t="s">
        <v>14</v>
      </c>
      <c r="G33" s="603"/>
      <c r="H33" s="603"/>
      <c r="I33" s="607"/>
      <c r="J33" s="604"/>
      <c r="K33" s="605" t="s">
        <v>303</v>
      </c>
      <c r="L33" s="608"/>
      <c r="M33" s="609"/>
      <c r="N33" s="604"/>
      <c r="O33" s="604"/>
      <c r="P33" s="503"/>
    </row>
    <row r="34" spans="1:20" s="599" customFormat="1" ht="6" customHeight="1">
      <c r="A34" s="606"/>
      <c r="B34" s="593"/>
      <c r="C34" s="594"/>
      <c r="D34" s="594"/>
      <c r="E34" s="594"/>
      <c r="F34" s="610"/>
      <c r="G34" s="611"/>
      <c r="H34" s="611"/>
      <c r="I34" s="612"/>
      <c r="J34" s="613"/>
      <c r="K34" s="605"/>
      <c r="L34" s="608"/>
      <c r="M34" s="608"/>
      <c r="N34" s="613"/>
      <c r="O34" s="613"/>
      <c r="P34" s="503"/>
    </row>
    <row r="35" spans="1:20" s="599" customFormat="1" ht="14.1" customHeight="1">
      <c r="A35" s="614" t="s">
        <v>304</v>
      </c>
      <c r="B35" s="615"/>
      <c r="C35" s="615"/>
      <c r="D35" s="615"/>
      <c r="E35" s="615"/>
      <c r="F35" s="615"/>
      <c r="G35" s="615"/>
      <c r="H35" s="615"/>
      <c r="I35" s="615"/>
      <c r="J35" s="615"/>
      <c r="K35" s="615"/>
      <c r="L35" s="615"/>
      <c r="M35" s="615"/>
      <c r="N35" s="615"/>
      <c r="O35" s="615"/>
    </row>
    <row r="36" spans="1:20" s="599" customFormat="1" ht="23.25" customHeight="1">
      <c r="A36" s="600" t="s">
        <v>305</v>
      </c>
      <c r="B36" s="616"/>
      <c r="C36" s="600"/>
      <c r="D36" s="617"/>
      <c r="E36" s="618" t="s">
        <v>306</v>
      </c>
      <c r="F36" s="1008">
        <f>+'Base Budget'!L206</f>
        <v>0</v>
      </c>
      <c r="G36" s="1008"/>
      <c r="H36" s="600" t="s">
        <v>307</v>
      </c>
      <c r="I36" s="619"/>
      <c r="J36" s="1009">
        <f>+IDC</f>
        <v>0</v>
      </c>
      <c r="K36" s="1009"/>
      <c r="L36" s="605" t="s">
        <v>308</v>
      </c>
      <c r="M36" s="620"/>
      <c r="N36" s="621" t="s">
        <v>309</v>
      </c>
      <c r="O36" s="622">
        <f>ROUND(+F36*J36,0)</f>
        <v>0</v>
      </c>
      <c r="Q36" s="623"/>
      <c r="R36" s="623"/>
      <c r="S36" s="623"/>
      <c r="T36" s="623"/>
    </row>
    <row r="37" spans="1:20" s="599" customFormat="1" ht="23.25" customHeight="1">
      <c r="A37" s="600" t="s">
        <v>310</v>
      </c>
      <c r="B37" s="616"/>
      <c r="C37" s="600"/>
      <c r="D37" s="617"/>
      <c r="E37" s="618" t="s">
        <v>306</v>
      </c>
      <c r="F37" s="1008">
        <f>+'Base Budget'!N206</f>
        <v>0</v>
      </c>
      <c r="G37" s="1008"/>
      <c r="H37" s="600" t="s">
        <v>307</v>
      </c>
      <c r="I37" s="619"/>
      <c r="J37" s="1009">
        <f>+IDC</f>
        <v>0</v>
      </c>
      <c r="K37" s="1009"/>
      <c r="L37" s="605" t="s">
        <v>308</v>
      </c>
      <c r="M37" s="605"/>
      <c r="N37" s="621" t="s">
        <v>309</v>
      </c>
      <c r="O37" s="622">
        <f t="shared" ref="O37:O40" si="0">ROUND(+F37*J37,0)</f>
        <v>0</v>
      </c>
      <c r="Q37" s="623"/>
      <c r="R37" s="623"/>
      <c r="S37" s="623"/>
      <c r="T37" s="623"/>
    </row>
    <row r="38" spans="1:20" s="599" customFormat="1" ht="23.25" customHeight="1">
      <c r="A38" s="600" t="s">
        <v>311</v>
      </c>
      <c r="B38" s="616"/>
      <c r="C38" s="600"/>
      <c r="D38" s="617"/>
      <c r="E38" s="618" t="s">
        <v>306</v>
      </c>
      <c r="F38" s="1008">
        <f>+'Base Budget'!P206</f>
        <v>0</v>
      </c>
      <c r="G38" s="1008"/>
      <c r="H38" s="600" t="s">
        <v>307</v>
      </c>
      <c r="I38" s="619"/>
      <c r="J38" s="1009">
        <f>+IDC</f>
        <v>0</v>
      </c>
      <c r="K38" s="1009"/>
      <c r="L38" s="605" t="s">
        <v>308</v>
      </c>
      <c r="M38" s="605"/>
      <c r="N38" s="621" t="s">
        <v>309</v>
      </c>
      <c r="O38" s="622">
        <f t="shared" si="0"/>
        <v>0</v>
      </c>
      <c r="Q38" s="623"/>
      <c r="R38" s="623"/>
      <c r="S38" s="623"/>
      <c r="T38" s="623"/>
    </row>
    <row r="39" spans="1:20" s="599" customFormat="1" ht="23.25" customHeight="1">
      <c r="A39" s="600" t="s">
        <v>312</v>
      </c>
      <c r="B39" s="616"/>
      <c r="C39" s="600"/>
      <c r="D39" s="617"/>
      <c r="E39" s="618" t="s">
        <v>306</v>
      </c>
      <c r="F39" s="1008">
        <f>+'Base Budget'!R206</f>
        <v>0</v>
      </c>
      <c r="G39" s="1008"/>
      <c r="H39" s="600" t="s">
        <v>307</v>
      </c>
      <c r="I39" s="619"/>
      <c r="J39" s="1009">
        <f>+IDC</f>
        <v>0</v>
      </c>
      <c r="K39" s="1009"/>
      <c r="L39" s="605" t="s">
        <v>308</v>
      </c>
      <c r="M39" s="605"/>
      <c r="N39" s="621" t="s">
        <v>309</v>
      </c>
      <c r="O39" s="622">
        <f t="shared" si="0"/>
        <v>0</v>
      </c>
      <c r="Q39" s="623"/>
      <c r="R39" s="623"/>
      <c r="S39" s="623"/>
      <c r="T39" s="623"/>
    </row>
    <row r="40" spans="1:20" s="599" customFormat="1" ht="23.25" customHeight="1" thickBot="1">
      <c r="A40" s="600" t="s">
        <v>313</v>
      </c>
      <c r="B40" s="616"/>
      <c r="C40" s="600"/>
      <c r="D40" s="617"/>
      <c r="E40" s="618" t="s">
        <v>306</v>
      </c>
      <c r="F40" s="1008">
        <f>+'Base Budget'!T206</f>
        <v>0</v>
      </c>
      <c r="G40" s="1008"/>
      <c r="H40" s="600" t="s">
        <v>307</v>
      </c>
      <c r="I40" s="619"/>
      <c r="J40" s="1010">
        <f>+IDC</f>
        <v>0</v>
      </c>
      <c r="K40" s="1009"/>
      <c r="L40" s="605" t="s">
        <v>308</v>
      </c>
      <c r="M40" s="605"/>
      <c r="N40" s="621" t="s">
        <v>309</v>
      </c>
      <c r="O40" s="622">
        <f t="shared" si="0"/>
        <v>0</v>
      </c>
      <c r="Q40" s="623"/>
      <c r="R40" s="623"/>
      <c r="S40" s="623"/>
      <c r="T40" s="623"/>
    </row>
    <row r="41" spans="1:20" s="599" customFormat="1" ht="18.899999999999999" customHeight="1" thickTop="1" thickBot="1">
      <c r="A41" s="624"/>
      <c r="B41" s="625"/>
      <c r="C41" s="624"/>
      <c r="D41" s="626"/>
      <c r="E41" s="648" t="s">
        <v>329</v>
      </c>
      <c r="F41" s="649"/>
      <c r="G41" s="650"/>
      <c r="H41" s="651"/>
      <c r="I41" s="652"/>
      <c r="J41" s="653"/>
      <c r="L41" s="605" t="s">
        <v>314</v>
      </c>
      <c r="M41" s="605"/>
      <c r="N41" s="621" t="s">
        <v>309</v>
      </c>
      <c r="O41" s="627">
        <f>SUM(O36:O40)</f>
        <v>0</v>
      </c>
      <c r="Q41" s="623"/>
      <c r="R41" s="623"/>
      <c r="S41" s="623"/>
      <c r="T41" s="623"/>
    </row>
    <row r="42" spans="1:20" s="599" customFormat="1" ht="21.15" customHeight="1" thickTop="1">
      <c r="A42" s="628" t="s">
        <v>57</v>
      </c>
      <c r="B42" s="629"/>
      <c r="C42" s="629"/>
      <c r="D42" s="629"/>
      <c r="E42" s="654" t="s">
        <v>330</v>
      </c>
      <c r="F42" s="655"/>
      <c r="G42" s="655"/>
      <c r="H42" s="655"/>
      <c r="I42" s="655"/>
      <c r="J42" s="656"/>
      <c r="K42" s="629"/>
      <c r="L42" s="629"/>
      <c r="M42" s="629"/>
      <c r="N42" s="629"/>
      <c r="O42" s="629"/>
    </row>
    <row r="43" spans="1:20" s="599" customFormat="1" ht="20.25" customHeight="1">
      <c r="A43" s="492" t="s">
        <v>14</v>
      </c>
      <c r="B43" s="630" t="s">
        <v>315</v>
      </c>
      <c r="C43" s="629"/>
      <c r="D43" s="492"/>
      <c r="E43" s="492" t="s">
        <v>316</v>
      </c>
      <c r="F43" s="630" t="s">
        <v>317</v>
      </c>
      <c r="G43" s="629"/>
      <c r="H43" s="629"/>
      <c r="I43" s="629"/>
      <c r="J43" s="492" t="s">
        <v>14</v>
      </c>
      <c r="K43" s="631" t="s">
        <v>318</v>
      </c>
      <c r="L43" s="630"/>
      <c r="M43" s="631"/>
      <c r="N43" s="629"/>
      <c r="O43" s="629"/>
    </row>
    <row r="44" spans="1:20" s="599" customFormat="1" ht="17.850000000000001" customHeight="1">
      <c r="A44" s="492" t="s">
        <v>14</v>
      </c>
      <c r="B44" s="632" t="s">
        <v>319</v>
      </c>
      <c r="C44" s="633"/>
      <c r="D44" s="633"/>
      <c r="E44" s="633"/>
      <c r="F44" s="633"/>
      <c r="G44" s="633"/>
      <c r="H44" s="633"/>
      <c r="I44" s="633"/>
      <c r="J44" s="633"/>
      <c r="K44" s="633"/>
      <c r="L44" s="633"/>
      <c r="M44" s="633"/>
      <c r="N44" s="633"/>
      <c r="O44" s="633"/>
    </row>
    <row r="45" spans="1:20" ht="19.5" customHeight="1">
      <c r="A45" s="632" t="s">
        <v>320</v>
      </c>
      <c r="B45" s="554"/>
      <c r="C45" s="554"/>
      <c r="D45" s="554"/>
      <c r="E45" s="554"/>
      <c r="F45" s="554"/>
      <c r="G45" s="554"/>
      <c r="H45" s="554"/>
      <c r="I45" s="554"/>
      <c r="J45" s="554"/>
      <c r="K45" s="554"/>
      <c r="L45" s="554"/>
      <c r="M45" s="554"/>
      <c r="N45" s="554"/>
      <c r="O45" s="554"/>
    </row>
    <row r="46" spans="1:20" ht="19.5" customHeight="1">
      <c r="A46" s="632"/>
      <c r="B46" s="554"/>
      <c r="C46" s="554"/>
      <c r="D46" s="554"/>
      <c r="E46" s="554"/>
      <c r="F46" s="554"/>
      <c r="G46" s="554"/>
      <c r="H46" s="554"/>
      <c r="I46" s="554"/>
      <c r="J46" s="554"/>
      <c r="K46" s="554"/>
      <c r="L46" s="554"/>
      <c r="M46" s="554"/>
      <c r="N46" s="554"/>
      <c r="O46" s="554"/>
    </row>
    <row r="47" spans="1:20" ht="19.5" customHeight="1">
      <c r="A47" s="632"/>
      <c r="B47" s="554"/>
      <c r="C47" s="554"/>
      <c r="D47" s="554"/>
      <c r="E47" s="554"/>
      <c r="F47" s="554"/>
      <c r="G47" s="554"/>
      <c r="H47" s="554"/>
      <c r="I47" s="554"/>
      <c r="J47" s="554"/>
      <c r="K47" s="554"/>
      <c r="L47" s="554"/>
      <c r="M47" s="554"/>
      <c r="N47" s="554"/>
      <c r="O47" s="554"/>
    </row>
    <row r="48" spans="1:20" ht="19.5" customHeight="1">
      <c r="A48" s="632"/>
      <c r="B48" s="554"/>
      <c r="C48" s="554"/>
      <c r="D48" s="554"/>
      <c r="E48" s="554"/>
      <c r="F48" s="554"/>
      <c r="G48" s="554"/>
      <c r="H48" s="554"/>
      <c r="I48" s="554"/>
      <c r="J48" s="554"/>
      <c r="K48" s="554"/>
      <c r="L48" s="554"/>
      <c r="M48" s="554"/>
      <c r="N48" s="554"/>
      <c r="O48" s="554"/>
    </row>
    <row r="49" spans="1:15" ht="27.75" customHeight="1">
      <c r="A49" s="632"/>
      <c r="B49" s="554"/>
      <c r="C49" s="554"/>
      <c r="D49" s="554"/>
      <c r="E49" s="554"/>
      <c r="F49" s="554"/>
      <c r="G49" s="554"/>
      <c r="H49" s="554"/>
      <c r="I49" s="554"/>
      <c r="J49" s="554"/>
      <c r="K49" s="554"/>
      <c r="L49" s="554"/>
      <c r="M49" s="554"/>
      <c r="N49" s="554"/>
      <c r="O49" s="554"/>
    </row>
    <row r="50" spans="1:15" ht="15" customHeight="1">
      <c r="A50" s="635" t="s">
        <v>321</v>
      </c>
      <c r="B50" s="636"/>
      <c r="C50" s="636"/>
      <c r="D50" s="636"/>
      <c r="E50" s="636"/>
      <c r="F50" s="636"/>
      <c r="G50" s="636"/>
      <c r="H50" s="636"/>
      <c r="I50" s="636"/>
      <c r="J50" s="636"/>
      <c r="K50" s="636"/>
      <c r="L50" s="636"/>
      <c r="M50" s="636"/>
      <c r="N50" s="636"/>
      <c r="O50" s="636"/>
    </row>
    <row r="51" spans="1:15" ht="15" customHeight="1">
      <c r="A51" s="553" t="s">
        <v>322</v>
      </c>
      <c r="B51" s="554"/>
      <c r="C51" s="554"/>
      <c r="D51" s="554"/>
      <c r="E51" s="554"/>
      <c r="F51" s="554"/>
      <c r="G51" s="554"/>
      <c r="H51" s="554"/>
      <c r="I51" s="554"/>
      <c r="J51" s="554"/>
      <c r="K51" s="554"/>
      <c r="L51" s="554"/>
      <c r="M51" s="554"/>
      <c r="N51" s="554"/>
      <c r="O51" s="554"/>
    </row>
    <row r="52" spans="1:15" ht="15" customHeight="1">
      <c r="A52" s="553" t="s">
        <v>323</v>
      </c>
      <c r="B52" s="554"/>
      <c r="C52" s="554"/>
      <c r="D52" s="554"/>
      <c r="E52" s="554"/>
      <c r="F52" s="554"/>
      <c r="G52" s="554"/>
      <c r="H52" s="554"/>
      <c r="I52" s="554"/>
      <c r="J52" s="554"/>
      <c r="K52" s="554"/>
      <c r="L52" s="554"/>
      <c r="M52" s="554"/>
      <c r="N52" s="553" t="s">
        <v>324</v>
      </c>
      <c r="O52" s="637" t="s">
        <v>325</v>
      </c>
    </row>
    <row r="53" spans="1:15" s="487" customFormat="1" ht="20.100000000000001" customHeight="1">
      <c r="A53" s="638" t="s">
        <v>326</v>
      </c>
      <c r="B53" s="639"/>
      <c r="C53" s="639"/>
      <c r="D53" s="640"/>
      <c r="E53" s="640"/>
      <c r="F53" s="641"/>
      <c r="G53" s="642" t="s">
        <v>327</v>
      </c>
      <c r="H53" s="640"/>
      <c r="I53" s="643"/>
      <c r="J53" s="643"/>
      <c r="K53" s="643"/>
      <c r="L53" s="643"/>
      <c r="M53" s="643"/>
      <c r="N53" s="644"/>
      <c r="O53" s="645" t="s">
        <v>83</v>
      </c>
    </row>
    <row r="54" spans="1:15">
      <c r="A54" s="646"/>
      <c r="B54" s="646"/>
      <c r="C54" s="646"/>
      <c r="D54" s="646"/>
      <c r="E54" s="646"/>
      <c r="F54" s="646"/>
      <c r="G54" s="646"/>
      <c r="H54" s="646"/>
      <c r="I54" s="646"/>
      <c r="J54" s="646"/>
      <c r="K54" s="646"/>
      <c r="L54" s="646"/>
      <c r="M54" s="646"/>
      <c r="N54" s="646"/>
      <c r="O54" s="646"/>
    </row>
  </sheetData>
  <mergeCells count="13">
    <mergeCell ref="F37:G37"/>
    <mergeCell ref="J37:K37"/>
    <mergeCell ref="J1:L1"/>
    <mergeCell ref="K8:K9"/>
    <mergeCell ref="I15:K15"/>
    <mergeCell ref="F36:G36"/>
    <mergeCell ref="J36:K36"/>
    <mergeCell ref="F38:G38"/>
    <mergeCell ref="J38:K38"/>
    <mergeCell ref="F39:G39"/>
    <mergeCell ref="J39:K39"/>
    <mergeCell ref="F40:G40"/>
    <mergeCell ref="J40:K40"/>
  </mergeCells>
  <pageMargins left="0.75" right="0.75" top="0.87" bottom="0.25" header="0" footer="0"/>
  <pageSetup scale="67"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pageSetUpPr fitToPage="1"/>
  </sheetPr>
  <dimension ref="A1:S208"/>
  <sheetViews>
    <sheetView showZeros="0" zoomScaleNormal="100" zoomScaleSheetLayoutView="70" workbookViewId="0">
      <pane xSplit="9" ySplit="4" topLeftCell="J76" activePane="bottomRight" state="frozen"/>
      <selection activeCell="A12" sqref="A12"/>
      <selection pane="topRight" activeCell="A12" sqref="A12"/>
      <selection pane="bottomLeft" activeCell="A12" sqref="A12"/>
      <selection pane="bottomRight" activeCell="C81" sqref="C81"/>
    </sheetView>
  </sheetViews>
  <sheetFormatPr defaultColWidth="9.109375" defaultRowHeight="13.2"/>
  <cols>
    <col min="1" max="1" width="9.109375" style="699"/>
    <col min="2" max="2" width="1.6640625" style="699" customWidth="1"/>
    <col min="3" max="3" width="9.109375" style="699"/>
    <col min="4" max="4" width="1.6640625" style="699" customWidth="1"/>
    <col min="5" max="8" width="9.109375" style="699"/>
    <col min="9" max="9" width="16.33203125" style="699" customWidth="1"/>
    <col min="10" max="10" width="2.6640625" style="699" customWidth="1"/>
    <col min="11" max="11" width="12.33203125" style="699" customWidth="1"/>
    <col min="12" max="12" width="2.6640625" style="699" customWidth="1"/>
    <col min="13" max="13" width="12.33203125" style="699" customWidth="1"/>
    <col min="14" max="14" width="2.6640625" style="699" customWidth="1"/>
    <col min="15" max="15" width="12.33203125" style="699" customWidth="1"/>
    <col min="16" max="16" width="2.6640625" style="699" customWidth="1"/>
    <col min="17" max="17" width="12.33203125" style="699" customWidth="1"/>
    <col min="18" max="18" width="2.6640625" style="699" customWidth="1"/>
    <col min="19" max="19" width="12.33203125" style="699" customWidth="1"/>
    <col min="20" max="16384" width="9.109375" style="699"/>
  </cols>
  <sheetData>
    <row r="1" spans="1:19" s="658" customFormat="1" ht="15.6">
      <c r="C1" s="689" t="s">
        <v>413</v>
      </c>
      <c r="K1" s="690" t="s">
        <v>2</v>
      </c>
      <c r="M1" s="690" t="s">
        <v>3</v>
      </c>
      <c r="O1" s="690" t="s">
        <v>4</v>
      </c>
      <c r="Q1" s="690" t="s">
        <v>5</v>
      </c>
      <c r="S1" s="690" t="s">
        <v>6</v>
      </c>
    </row>
    <row r="2" spans="1:19" s="659" customFormat="1">
      <c r="C2" s="691"/>
      <c r="K2" s="692"/>
      <c r="M2" s="692"/>
      <c r="O2" s="692"/>
      <c r="Q2" s="692"/>
      <c r="S2" s="692"/>
    </row>
    <row r="3" spans="1:19" s="693" customFormat="1" ht="26.4">
      <c r="C3" s="1027"/>
      <c r="D3" s="1027"/>
      <c r="E3" s="1027"/>
      <c r="F3" s="1027"/>
      <c r="G3" s="1027"/>
      <c r="H3" s="1027"/>
      <c r="I3" s="1027"/>
      <c r="K3" s="693" t="s">
        <v>332</v>
      </c>
      <c r="M3" s="693" t="s">
        <v>332</v>
      </c>
      <c r="O3" s="693" t="s">
        <v>332</v>
      </c>
      <c r="Q3" s="693" t="s">
        <v>332</v>
      </c>
      <c r="S3" s="693" t="s">
        <v>332</v>
      </c>
    </row>
    <row r="4" spans="1:19" s="658" customFormat="1" ht="6" customHeight="1"/>
    <row r="5" spans="1:19" s="658" customFormat="1" ht="6" customHeight="1">
      <c r="C5" s="707"/>
      <c r="D5" s="707"/>
      <c r="E5" s="707"/>
      <c r="F5" s="707"/>
      <c r="G5" s="707"/>
      <c r="H5" s="707"/>
      <c r="I5" s="707"/>
      <c r="K5" s="660"/>
      <c r="M5" s="660"/>
      <c r="O5" s="660"/>
      <c r="Q5" s="660"/>
      <c r="S5" s="660"/>
    </row>
    <row r="6" spans="1:19" s="737" customFormat="1" ht="30" customHeight="1">
      <c r="A6" s="774">
        <v>8</v>
      </c>
      <c r="C6" s="1020" t="s">
        <v>426</v>
      </c>
      <c r="D6" s="1020"/>
      <c r="E6" s="1020"/>
      <c r="F6" s="1020"/>
      <c r="G6" s="772" t="s">
        <v>333</v>
      </c>
      <c r="H6" s="736"/>
      <c r="I6" s="773" t="s">
        <v>343</v>
      </c>
      <c r="K6" s="738">
        <f>ROUND(IF(I6="1/2-time",K7,K8),0)</f>
        <v>0</v>
      </c>
      <c r="M6" s="738">
        <f>ROUND(IF(I6="1/2-time",M7,M8),0)</f>
        <v>0</v>
      </c>
      <c r="O6" s="738">
        <f>ROUND(IF(I6="1/2-time",O7,O8),0)</f>
        <v>0</v>
      </c>
      <c r="Q6" s="738">
        <f>ROUND(IF(I6="1/2-time",Q7,Q8),0)</f>
        <v>0</v>
      </c>
      <c r="S6" s="738">
        <f>ROUND(IF(I6="1/2-time",S7,S8),0)</f>
        <v>0</v>
      </c>
    </row>
    <row r="7" spans="1:19" s="737" customFormat="1" ht="15" hidden="1">
      <c r="A7" s="737">
        <v>8</v>
      </c>
      <c r="C7" s="1021" t="s">
        <v>335</v>
      </c>
      <c r="D7" s="1021"/>
      <c r="E7" s="1021"/>
      <c r="F7" s="1021"/>
      <c r="G7" s="736"/>
      <c r="H7" s="736"/>
      <c r="I7" s="736" t="s">
        <v>336</v>
      </c>
      <c r="K7" s="738">
        <f>+C13*VLOOKUP(K13,$I$93:$Q$119,5,FALSE)+C15*VLOOKUP(K15,$I$93:$Q$119,5,FALSE)+C17*VLOOKUP(K17,$I$93:$Q$119,5,FALSE)+C19*VLOOKUP(K19,$I$93:$Q$119,9,FALSE)+C21*VLOOKUP(K21,$I$93:$Q$119,9,FALSE)+C23*VLOOKUP(K23,$I$93:$Q$119,9,FALSE)</f>
        <v>0</v>
      </c>
      <c r="M7" s="738">
        <f>+E13*VLOOKUP(M13,$I$93:$Q$119,5,FALSE)+E15*VLOOKUP(M15,$I$93:$Q$119,5,FALSE)+E17*VLOOKUP(M17,$I$93:$Q$119,5,FALSE)+E19*VLOOKUP(M19,$I$93:$Q$119,9,FALSE)+E21*VLOOKUP(M21,$I$93:$Q$119,9,FALSE)+E23*VLOOKUP(M23,$I$93:$Q$119,9,FALSE)</f>
        <v>0</v>
      </c>
      <c r="O7" s="738">
        <f>+F13*VLOOKUP(O13,$I$93:$Q$119,5,FALSE)+F15*VLOOKUP(O15,$I$93:$Q$119,5,FALSE)+F17*VLOOKUP(O17,$I$93:$Q$119,5,FALSE)+F19*VLOOKUP(O19,$I$93:$Q$119,9,FALSE)+F21*VLOOKUP(O21,$I$93:$Q$119,9,FALSE)+F23*VLOOKUP(O23,$I$93:$Q$119,9,FALSE)</f>
        <v>0</v>
      </c>
      <c r="Q7" s="738">
        <f>+G13*VLOOKUP(Q13,$I$93:$Q$119,5,FALSE)+G15*VLOOKUP(Q15,$I$93:$Q$119,5,FALSE)+G17*VLOOKUP(Q17,$I$93:$Q$119,5,FALSE)+G19*VLOOKUP(Q19,$I$93:$Q$119,9,FALSE)+G21*VLOOKUP(Q21,$I$93:$Q$119,9,FALSE)+G23*VLOOKUP(Q23,$I$93:$Q$119,9,FALSE)</f>
        <v>0</v>
      </c>
      <c r="S7" s="738">
        <f>+H13*VLOOKUP(S13,$I$93:$Q$119,5,FALSE)+H15*VLOOKUP(S15,$I$93:$Q$119,5,FALSE)+H17*VLOOKUP(S17,$I$93:$Q$119,5,FALSE)+H19*VLOOKUP(S19,$I$93:$Q$119,9,FALSE)+H21*VLOOKUP(S21,$I$93:$Q$119,9,FALSE)+H23*VLOOKUP(S23,$I$93:$Q$119,9,FALSE)</f>
        <v>0</v>
      </c>
    </row>
    <row r="8" spans="1:19" s="737" customFormat="1" ht="15" hidden="1">
      <c r="A8" s="737">
        <v>8</v>
      </c>
      <c r="C8" s="1021" t="s">
        <v>335</v>
      </c>
      <c r="D8" s="1021"/>
      <c r="E8" s="1021"/>
      <c r="F8" s="1021"/>
      <c r="G8" s="736"/>
      <c r="H8" s="736"/>
      <c r="I8" s="736" t="s">
        <v>337</v>
      </c>
      <c r="K8" s="738">
        <f>+C13*VLOOKUP(K13,$I$93:$Q$119,3,FALSE)+C15*VLOOKUP(K15,$I$93:$Q$119,3,FALSE)+C17*VLOOKUP(K17,$I$93:$Q$119,3,FALSE)+C19*VLOOKUP(K19,$I$93:$Q$119,7,FALSE)+C21*VLOOKUP(K21,$I$93:$Q$119,7,FALSE)+C23*VLOOKUP(K23,$I$93:$Q$119,7,FALSE)</f>
        <v>0</v>
      </c>
      <c r="M8" s="738">
        <f>+E13*VLOOKUP(M13,$I$93:$Q$119,3,FALSE)+E15*VLOOKUP(M15,$I$93:$Q$119,3,FALSE)+E17*VLOOKUP(M17,$I$93:$Q$119,3,FALSE)+E19*VLOOKUP(M19,$I$93:$Q$119,7,FALSE)+E21*VLOOKUP(M21,$I$93:$Q$119,7,FALSE)+E23*VLOOKUP(M23,$I$93:$Q$119,7,FALSE)</f>
        <v>0</v>
      </c>
      <c r="O8" s="738">
        <f>+F13*VLOOKUP(O13,$I$93:$Q$119,3,FALSE)+F15*VLOOKUP(O15,$I$93:$Q$119,3,FALSE)+F17*VLOOKUP(O17,$I$93:$Q$119,3,FALSE)+F19*VLOOKUP(O19,$I$93:$Q$119,7,FALSE)+F21*VLOOKUP(O21,$I$93:$Q$119,7,FALSE)+F23*VLOOKUP(O23,$I$93:$Q$119,7,FALSE)</f>
        <v>0</v>
      </c>
      <c r="Q8" s="738">
        <f>+G13*VLOOKUP(Q13,$I$93:$Q$119,3,FALSE)+G15*VLOOKUP(Q15,$I$93:$Q$119,3,FALSE)+G17*VLOOKUP(Q17,$I$93:$Q$119,3,FALSE)+G19*VLOOKUP(Q19,$I$93:$Q$119,7,FALSE)+G21*VLOOKUP(Q21,$I$93:$Q$119,7,FALSE)+G23*VLOOKUP(Q23,$I$93:$Q$119,7,FALSE)</f>
        <v>0</v>
      </c>
      <c r="S8" s="738">
        <f>+H13*VLOOKUP(S13,$I$93:$Q$119,3,FALSE)+H15*VLOOKUP(S15,$I$93:$Q$119,3,FALSE)+H17*VLOOKUP(S17,$I$93:$Q$119,3,FALSE)+H19*VLOOKUP(S19,$I$93:$Q$119,7,FALSE)+H21*VLOOKUP(S21,$I$93:$Q$119,7,FALSE)+H23*VLOOKUP(S23,$I$93:$Q$119,7,FALSE)</f>
        <v>0</v>
      </c>
    </row>
    <row r="9" spans="1:19" s="737" customFormat="1" ht="6" customHeight="1">
      <c r="C9" s="767"/>
      <c r="D9" s="767"/>
      <c r="E9" s="767"/>
      <c r="F9" s="767"/>
      <c r="G9" s="767"/>
      <c r="H9" s="767"/>
      <c r="I9" s="768"/>
      <c r="J9" s="769"/>
      <c r="K9" s="769"/>
      <c r="L9" s="769"/>
      <c r="M9" s="769"/>
      <c r="N9" s="769"/>
      <c r="O9" s="769"/>
      <c r="P9" s="769"/>
      <c r="Q9" s="769"/>
      <c r="R9" s="769"/>
      <c r="S9" s="769"/>
    </row>
    <row r="10" spans="1:19" s="739" customFormat="1" ht="6" customHeight="1">
      <c r="A10" s="756"/>
      <c r="C10" s="770"/>
      <c r="D10" s="770"/>
      <c r="E10" s="770"/>
      <c r="F10" s="771"/>
      <c r="G10" s="771"/>
      <c r="H10" s="770"/>
      <c r="I10" s="760"/>
      <c r="J10" s="755"/>
      <c r="K10" s="760"/>
      <c r="L10" s="760"/>
      <c r="M10" s="760"/>
      <c r="N10" s="760"/>
      <c r="O10" s="760"/>
      <c r="P10" s="760"/>
      <c r="Q10" s="760"/>
      <c r="R10" s="760"/>
      <c r="S10" s="760"/>
    </row>
    <row r="11" spans="1:19" s="739" customFormat="1" ht="24.9" customHeight="1">
      <c r="A11" s="756"/>
      <c r="C11" s="1024" t="s">
        <v>427</v>
      </c>
      <c r="D11" s="1025"/>
      <c r="E11" s="1025"/>
      <c r="F11" s="1025"/>
      <c r="G11" s="1025"/>
      <c r="H11" s="1026"/>
      <c r="I11" s="760"/>
      <c r="J11" s="755"/>
      <c r="K11" s="760"/>
      <c r="L11" s="760"/>
      <c r="M11" s="760"/>
      <c r="N11" s="760"/>
      <c r="O11" s="760"/>
      <c r="P11" s="760"/>
      <c r="Q11" s="760"/>
      <c r="R11" s="760"/>
      <c r="S11" s="760"/>
    </row>
    <row r="12" spans="1:19" s="739" customFormat="1" ht="12" customHeight="1">
      <c r="C12" s="743" t="s">
        <v>2</v>
      </c>
      <c r="D12" s="743"/>
      <c r="E12" s="743" t="s">
        <v>3</v>
      </c>
      <c r="F12" s="743" t="s">
        <v>4</v>
      </c>
      <c r="G12" s="743" t="s">
        <v>5</v>
      </c>
      <c r="H12" s="743" t="s">
        <v>6</v>
      </c>
      <c r="I12" s="743"/>
      <c r="J12" s="744"/>
      <c r="K12" s="744"/>
      <c r="L12" s="744"/>
      <c r="M12" s="744"/>
      <c r="N12" s="744"/>
      <c r="O12" s="744"/>
      <c r="P12" s="744"/>
      <c r="Q12" s="744"/>
      <c r="R12" s="744"/>
      <c r="S12" s="744"/>
    </row>
    <row r="13" spans="1:19" s="739" customFormat="1" ht="24.9" customHeight="1">
      <c r="A13" s="1022" t="s">
        <v>338</v>
      </c>
      <c r="C13" s="1017">
        <v>0</v>
      </c>
      <c r="D13" s="1017"/>
      <c r="E13" s="751">
        <v>0</v>
      </c>
      <c r="F13" s="751">
        <v>0</v>
      </c>
      <c r="G13" s="752">
        <v>0</v>
      </c>
      <c r="H13" s="751">
        <v>0</v>
      </c>
      <c r="I13" s="740" t="s">
        <v>339</v>
      </c>
      <c r="K13" s="754" t="s">
        <v>353</v>
      </c>
      <c r="L13" s="740"/>
      <c r="M13" s="754" t="s">
        <v>354</v>
      </c>
      <c r="N13" s="740"/>
      <c r="O13" s="754" t="s">
        <v>416</v>
      </c>
      <c r="P13" s="740"/>
      <c r="Q13" s="754" t="s">
        <v>422</v>
      </c>
      <c r="R13" s="740"/>
      <c r="S13" s="754" t="s">
        <v>423</v>
      </c>
    </row>
    <row r="14" spans="1:19" s="739" customFormat="1" ht="6" customHeight="1">
      <c r="A14" s="1023"/>
      <c r="C14" s="745"/>
      <c r="D14" s="745"/>
      <c r="E14" s="746"/>
      <c r="F14" s="746"/>
      <c r="G14" s="746"/>
      <c r="H14" s="746"/>
      <c r="I14" s="740"/>
      <c r="K14" s="740"/>
      <c r="L14" s="740"/>
      <c r="M14" s="740"/>
      <c r="N14" s="740"/>
      <c r="O14" s="740"/>
      <c r="P14" s="740"/>
      <c r="Q14" s="740"/>
      <c r="R14" s="740"/>
      <c r="S14" s="740"/>
    </row>
    <row r="15" spans="1:19" s="739" customFormat="1" ht="24.9" customHeight="1">
      <c r="A15" s="1023"/>
      <c r="C15" s="1017">
        <v>0</v>
      </c>
      <c r="D15" s="1017"/>
      <c r="E15" s="751">
        <v>0</v>
      </c>
      <c r="F15" s="753">
        <v>0</v>
      </c>
      <c r="G15" s="752">
        <v>0</v>
      </c>
      <c r="H15" s="751">
        <v>0</v>
      </c>
      <c r="I15" s="740" t="s">
        <v>340</v>
      </c>
      <c r="K15" s="754" t="s">
        <v>349</v>
      </c>
      <c r="L15" s="740"/>
      <c r="M15" s="754" t="s">
        <v>350</v>
      </c>
      <c r="N15" s="740"/>
      <c r="O15" s="754" t="s">
        <v>414</v>
      </c>
      <c r="P15" s="740"/>
      <c r="Q15" s="754" t="s">
        <v>418</v>
      </c>
      <c r="R15" s="740"/>
      <c r="S15" s="754" t="s">
        <v>419</v>
      </c>
    </row>
    <row r="16" spans="1:19" s="739" customFormat="1" ht="6" customHeight="1">
      <c r="A16" s="1023"/>
      <c r="C16" s="745"/>
      <c r="D16" s="745"/>
      <c r="E16" s="746"/>
      <c r="F16" s="746"/>
      <c r="G16" s="746"/>
      <c r="H16" s="746"/>
      <c r="I16" s="740"/>
      <c r="K16" s="740"/>
      <c r="L16" s="740"/>
      <c r="M16" s="740"/>
      <c r="N16" s="740"/>
      <c r="O16" s="740"/>
      <c r="P16" s="740"/>
      <c r="Q16" s="740"/>
      <c r="R16" s="740"/>
      <c r="S16" s="740"/>
    </row>
    <row r="17" spans="1:19" s="739" customFormat="1" ht="24.9" customHeight="1">
      <c r="A17" s="1023"/>
      <c r="C17" s="1017">
        <v>0</v>
      </c>
      <c r="D17" s="1017"/>
      <c r="E17" s="751">
        <v>0</v>
      </c>
      <c r="F17" s="753">
        <v>0</v>
      </c>
      <c r="G17" s="752">
        <v>0</v>
      </c>
      <c r="H17" s="751">
        <v>0</v>
      </c>
      <c r="I17" s="740" t="s">
        <v>341</v>
      </c>
      <c r="K17" s="754" t="s">
        <v>351</v>
      </c>
      <c r="L17" s="740"/>
      <c r="M17" s="754" t="s">
        <v>352</v>
      </c>
      <c r="N17" s="740"/>
      <c r="O17" s="754" t="s">
        <v>415</v>
      </c>
      <c r="P17" s="740"/>
      <c r="Q17" s="754" t="s">
        <v>420</v>
      </c>
      <c r="R17" s="740"/>
      <c r="S17" s="754" t="s">
        <v>421</v>
      </c>
    </row>
    <row r="18" spans="1:19" s="739" customFormat="1" ht="12" customHeight="1">
      <c r="C18" s="747"/>
      <c r="D18" s="747"/>
      <c r="E18" s="747"/>
      <c r="F18" s="747"/>
      <c r="G18" s="747"/>
      <c r="H18" s="747"/>
      <c r="I18" s="743"/>
      <c r="J18" s="744"/>
      <c r="K18" s="748"/>
      <c r="L18" s="748"/>
      <c r="M18" s="748"/>
      <c r="N18" s="748"/>
      <c r="O18" s="748"/>
      <c r="P18" s="748"/>
      <c r="Q18" s="748"/>
      <c r="R18" s="748"/>
      <c r="S18" s="748"/>
    </row>
    <row r="19" spans="1:19" s="739" customFormat="1" ht="24.9" customHeight="1">
      <c r="A19" s="1022" t="s">
        <v>342</v>
      </c>
      <c r="C19" s="1017">
        <v>0</v>
      </c>
      <c r="D19" s="1017"/>
      <c r="E19" s="751">
        <v>0</v>
      </c>
      <c r="F19" s="751">
        <v>0</v>
      </c>
      <c r="G19" s="752">
        <v>0</v>
      </c>
      <c r="H19" s="751">
        <v>0</v>
      </c>
      <c r="I19" s="740" t="s">
        <v>339</v>
      </c>
      <c r="K19" s="754" t="s">
        <v>353</v>
      </c>
      <c r="L19" s="740"/>
      <c r="M19" s="754" t="s">
        <v>354</v>
      </c>
      <c r="N19" s="740"/>
      <c r="O19" s="754" t="s">
        <v>416</v>
      </c>
      <c r="P19" s="740"/>
      <c r="Q19" s="754" t="s">
        <v>422</v>
      </c>
      <c r="R19" s="740"/>
      <c r="S19" s="754" t="s">
        <v>423</v>
      </c>
    </row>
    <row r="20" spans="1:19" s="739" customFormat="1" ht="6" customHeight="1">
      <c r="A20" s="1023"/>
      <c r="C20" s="745"/>
      <c r="D20" s="745"/>
      <c r="E20" s="746"/>
      <c r="F20" s="746"/>
      <c r="G20" s="746"/>
      <c r="H20" s="746"/>
      <c r="I20" s="740"/>
      <c r="K20" s="740"/>
      <c r="L20" s="740"/>
      <c r="M20" s="740"/>
      <c r="N20" s="740"/>
      <c r="O20" s="740"/>
      <c r="P20" s="740"/>
      <c r="Q20" s="740"/>
      <c r="R20" s="740"/>
      <c r="S20" s="740"/>
    </row>
    <row r="21" spans="1:19" s="739" customFormat="1" ht="24.9" customHeight="1">
      <c r="A21" s="1023"/>
      <c r="C21" s="1017">
        <v>0</v>
      </c>
      <c r="D21" s="1017"/>
      <c r="E21" s="751">
        <v>0</v>
      </c>
      <c r="F21" s="753">
        <v>0</v>
      </c>
      <c r="G21" s="752">
        <v>0</v>
      </c>
      <c r="H21" s="751">
        <v>0</v>
      </c>
      <c r="I21" s="740" t="s">
        <v>340</v>
      </c>
      <c r="K21" s="754" t="s">
        <v>349</v>
      </c>
      <c r="L21" s="740"/>
      <c r="M21" s="754" t="s">
        <v>350</v>
      </c>
      <c r="N21" s="740"/>
      <c r="O21" s="754" t="s">
        <v>414</v>
      </c>
      <c r="P21" s="740"/>
      <c r="Q21" s="754" t="s">
        <v>418</v>
      </c>
      <c r="R21" s="740"/>
      <c r="S21" s="754" t="s">
        <v>419</v>
      </c>
    </row>
    <row r="22" spans="1:19" s="739" customFormat="1" ht="6" customHeight="1">
      <c r="A22" s="1023"/>
      <c r="C22" s="745"/>
      <c r="D22" s="745"/>
      <c r="E22" s="746"/>
      <c r="F22" s="746"/>
      <c r="G22" s="746"/>
      <c r="H22" s="746"/>
      <c r="I22" s="740"/>
      <c r="K22" s="740"/>
      <c r="L22" s="740"/>
      <c r="M22" s="740"/>
      <c r="N22" s="740"/>
      <c r="O22" s="740"/>
      <c r="P22" s="740"/>
      <c r="Q22" s="740"/>
      <c r="R22" s="740"/>
      <c r="S22" s="740"/>
    </row>
    <row r="23" spans="1:19" s="739" customFormat="1" ht="24.9" customHeight="1">
      <c r="A23" s="1023"/>
      <c r="C23" s="1014">
        <v>0</v>
      </c>
      <c r="D23" s="1014"/>
      <c r="E23" s="757">
        <v>0</v>
      </c>
      <c r="F23" s="758">
        <v>0</v>
      </c>
      <c r="G23" s="759">
        <v>0</v>
      </c>
      <c r="H23" s="757">
        <v>0</v>
      </c>
      <c r="I23" s="740" t="s">
        <v>341</v>
      </c>
      <c r="K23" s="754" t="s">
        <v>351</v>
      </c>
      <c r="L23" s="740"/>
      <c r="M23" s="754" t="s">
        <v>352</v>
      </c>
      <c r="N23" s="740"/>
      <c r="O23" s="754" t="s">
        <v>415</v>
      </c>
      <c r="P23" s="740"/>
      <c r="Q23" s="754" t="s">
        <v>420</v>
      </c>
      <c r="R23" s="740"/>
      <c r="S23" s="754" t="s">
        <v>421</v>
      </c>
    </row>
    <row r="24" spans="1:19" s="737" customFormat="1" ht="6" customHeight="1">
      <c r="C24" s="767"/>
      <c r="D24" s="767"/>
      <c r="E24" s="767"/>
      <c r="F24" s="767"/>
      <c r="G24" s="767"/>
      <c r="H24" s="767"/>
      <c r="I24" s="768"/>
      <c r="J24" s="769"/>
      <c r="K24" s="769"/>
      <c r="L24" s="769"/>
      <c r="M24" s="769"/>
      <c r="N24" s="769"/>
      <c r="O24" s="769"/>
      <c r="P24" s="769"/>
      <c r="Q24" s="769"/>
      <c r="R24" s="769"/>
      <c r="S24" s="769"/>
    </row>
    <row r="25" spans="1:19" s="750" customFormat="1" ht="6" customHeight="1"/>
    <row r="26" spans="1:19" s="737" customFormat="1" ht="30" customHeight="1">
      <c r="A26" s="774">
        <v>8</v>
      </c>
      <c r="C26" s="1020" t="s">
        <v>428</v>
      </c>
      <c r="D26" s="1020"/>
      <c r="E26" s="1020"/>
      <c r="F26" s="1020"/>
      <c r="G26" s="772" t="s">
        <v>333</v>
      </c>
      <c r="H26" s="736"/>
      <c r="I26" s="773" t="s">
        <v>343</v>
      </c>
      <c r="K26" s="738">
        <f>ROUND(IF($I$26="1/2-time",K27,K28),0)</f>
        <v>0</v>
      </c>
      <c r="M26" s="738">
        <f>ROUND(IF($I$26="1/2-time",M27,M28),0)</f>
        <v>0</v>
      </c>
      <c r="O26" s="738">
        <f>ROUND(IF($I$26="1/2-time",O27,O28),0)</f>
        <v>0</v>
      </c>
      <c r="Q26" s="738">
        <f>ROUND(IF($I$26="1/2-time",Q27,Q28),0)</f>
        <v>0</v>
      </c>
      <c r="S26" s="738">
        <f>ROUND(IF($I$26="1/2-time",S27,S28),0)</f>
        <v>0</v>
      </c>
    </row>
    <row r="27" spans="1:19" s="737" customFormat="1" ht="15" hidden="1">
      <c r="A27" s="737">
        <v>8</v>
      </c>
      <c r="C27" s="1021" t="s">
        <v>335</v>
      </c>
      <c r="D27" s="1021"/>
      <c r="E27" s="1021"/>
      <c r="F27" s="1021"/>
      <c r="G27" s="736"/>
      <c r="H27" s="736"/>
      <c r="I27" s="736" t="s">
        <v>336</v>
      </c>
      <c r="K27" s="738">
        <f>+C33*VLOOKUP(K33,$I$123:$Q$149,5,FALSE)+C35*VLOOKUP(K35,$I$123:$Q$149,5,FALSE)+C37*VLOOKUP(K37,$I$123:$Q$149,5,FALSE)+C39*VLOOKUP(K39,$I$123:$Q$149,9,FALSE)+C41*VLOOKUP(K41,$I$123:$Q$149,9,FALSE)+C43*VLOOKUP(K43,$I$123:$Q$149,9,FALSE)</f>
        <v>0</v>
      </c>
      <c r="L27" s="738"/>
      <c r="M27" s="738">
        <f>+E33*VLOOKUP(M33,$I$123:$Q$149,5,FALSE)+E35*VLOOKUP(M35,$I$123:$Q$149,5,FALSE)+E37*VLOOKUP(M37,$I$123:$Q$149,5,FALSE)+E39*VLOOKUP(M39,$I$123:$Q$149,9,FALSE)+E41*VLOOKUP(M41,$I$123:$Q$149,9,FALSE)+E43*VLOOKUP(M43,$I$123:$Q$149,9,FALSE)</f>
        <v>0</v>
      </c>
      <c r="N27" s="738"/>
      <c r="O27" s="738">
        <f>+F33*VLOOKUP(O33,$I$123:$Q$149,5,FALSE)+F35*VLOOKUP(O35,$I$123:$Q$149,5,FALSE)+F37*VLOOKUP(O37,$I$123:$Q$149,5,FALSE)+F39*VLOOKUP(O39,$I$123:$Q$149,9,FALSE)+F41*VLOOKUP(O41,$I$123:$Q$149,9,FALSE)+F43*VLOOKUP(O43,$I$123:$Q$149,9,FALSE)</f>
        <v>0</v>
      </c>
      <c r="P27" s="738"/>
      <c r="Q27" s="738">
        <f>+G33*VLOOKUP(Q33,$I$123:$Q$149,5,FALSE)+G35*VLOOKUP(Q35,$I$123:$Q$149,5,FALSE)+G37*VLOOKUP(Q37,$I$123:$Q$149,5,FALSE)+G39*VLOOKUP(Q39,$I$123:$Q$149,9,FALSE)+G41*VLOOKUP(Q41,$I$123:$Q$149,9,FALSE)+G43*VLOOKUP(Q43,$I$123:$Q$149,9,FALSE)</f>
        <v>0</v>
      </c>
      <c r="R27" s="738"/>
      <c r="S27" s="738">
        <f>+H33*VLOOKUP(S33,$I$123:$Q$149,5,FALSE)+H35*VLOOKUP(S35,$I$123:$Q$149,5,FALSE)+H37*VLOOKUP(S37,$I$123:$Q$149,5,FALSE)+H39*VLOOKUP(S39,$I$123:$Q$149,9,FALSE)+H41*VLOOKUP(S41,$I$123:$Q$149,9,FALSE)+H43*VLOOKUP(S43,$I$123:$Q$149,9,FALSE)</f>
        <v>0</v>
      </c>
    </row>
    <row r="28" spans="1:19" s="737" customFormat="1" ht="18" hidden="1" customHeight="1">
      <c r="A28" s="737">
        <v>8</v>
      </c>
      <c r="C28" s="1021" t="s">
        <v>335</v>
      </c>
      <c r="D28" s="1021"/>
      <c r="E28" s="1021"/>
      <c r="F28" s="1021"/>
      <c r="G28" s="736"/>
      <c r="H28" s="736"/>
      <c r="I28" s="736" t="s">
        <v>337</v>
      </c>
      <c r="K28" s="738">
        <f>+C33*VLOOKUP(K33,$I$123:$Q$149,3,FALSE)+C35*VLOOKUP(K35,$I$123:$Q$149,3,FALSE)+C37*VLOOKUP(K37,$I$123:$Q$149,3,FALSE)+C39*VLOOKUP(K39,$I$123:$Q$149,7,FALSE)+C41*VLOOKUP(K41,$I$123:$Q$149,7,FALSE)+C43*VLOOKUP(K43,$I$123:$Q$149,7,FALSE)</f>
        <v>0</v>
      </c>
      <c r="M28" s="738">
        <f>+E33*VLOOKUP(M33,$I$123:$Q$149,3,FALSE)+E35*VLOOKUP(M35,$I$123:$Q$149,3,FALSE)+E37*VLOOKUP(M37,$I$123:$Q$149,3,FALSE)+E39*VLOOKUP(M39,$I$123:$Q$149,7,FALSE)+E41*VLOOKUP(M41,$I$123:$Q$149,7,FALSE)+E43*VLOOKUP(M43,$I$123:$Q$149,7,FALSE)</f>
        <v>0</v>
      </c>
      <c r="O28" s="738">
        <f>+F33*VLOOKUP(O33,$I$123:$Q$149,3,FALSE)+F35*VLOOKUP(O35,$I$123:$Q$149,3,FALSE)+F37*VLOOKUP(O37,$I$123:$Q$149,3,FALSE)+F39*VLOOKUP(O39,$I$123:$Q$149,7,FALSE)+F41*VLOOKUP(O41,$I$123:$Q$149,7,FALSE)+F43*VLOOKUP(O43,$I$123:$Q$149,7,FALSE)</f>
        <v>0</v>
      </c>
      <c r="Q28" s="738">
        <f>+G33*VLOOKUP(Q33,$I$123:$Q$149,3,FALSE)+G35*VLOOKUP(Q35,$I$123:$Q$149,3,FALSE)+G37*VLOOKUP(Q37,$I$123:$Q$149,3,FALSE)+G39*VLOOKUP(Q39,$I$123:$Q$149,7,FALSE)+G41*VLOOKUP(Q41,$I$123:$Q$149,7,FALSE)+G43*VLOOKUP(Q43,$I$123:$Q$149,7,FALSE)</f>
        <v>0</v>
      </c>
      <c r="S28" s="738">
        <f>+H33*VLOOKUP(S33,$I$123:$Q$149,3,FALSE)+H35*VLOOKUP(S35,$I$123:$Q$149,3,FALSE)+H37*VLOOKUP(S37,$I$123:$Q$149,3,FALSE)+H39*VLOOKUP(S39,$I$123:$Q$149,7,FALSE)+H41*VLOOKUP(S41,$I$123:$Q$149,7,FALSE)+H43*VLOOKUP(S43,$I$123:$Q$149,7,FALSE)</f>
        <v>0</v>
      </c>
    </row>
    <row r="29" spans="1:19" s="737" customFormat="1" ht="6" customHeight="1">
      <c r="C29" s="767"/>
      <c r="D29" s="767"/>
      <c r="E29" s="767"/>
      <c r="F29" s="767"/>
      <c r="G29" s="767"/>
      <c r="H29" s="767"/>
      <c r="I29" s="768"/>
      <c r="J29" s="769"/>
      <c r="K29" s="769"/>
      <c r="L29" s="769"/>
      <c r="M29" s="769"/>
      <c r="N29" s="769"/>
      <c r="O29" s="769"/>
      <c r="P29" s="769"/>
      <c r="Q29" s="769"/>
      <c r="R29" s="769"/>
      <c r="S29" s="769"/>
    </row>
    <row r="30" spans="1:19" s="739" customFormat="1" ht="6" customHeight="1">
      <c r="A30" s="756"/>
      <c r="C30" s="770"/>
      <c r="D30" s="770"/>
      <c r="E30" s="770"/>
      <c r="F30" s="771"/>
      <c r="G30" s="771"/>
      <c r="H30" s="770"/>
      <c r="I30" s="760"/>
      <c r="J30" s="755"/>
      <c r="K30" s="760"/>
      <c r="L30" s="760"/>
      <c r="M30" s="760"/>
      <c r="N30" s="760"/>
      <c r="O30" s="760"/>
      <c r="P30" s="760"/>
      <c r="Q30" s="760"/>
      <c r="R30" s="760"/>
      <c r="S30" s="760"/>
    </row>
    <row r="31" spans="1:19" s="739" customFormat="1" ht="24.9" customHeight="1">
      <c r="A31" s="749"/>
      <c r="B31" s="755"/>
      <c r="C31" s="1024" t="s">
        <v>429</v>
      </c>
      <c r="D31" s="1025"/>
      <c r="E31" s="1025"/>
      <c r="F31" s="1025"/>
      <c r="G31" s="1025"/>
      <c r="H31" s="1026"/>
      <c r="I31" s="760"/>
      <c r="J31" s="755"/>
      <c r="K31" s="738"/>
      <c r="L31" s="760"/>
      <c r="M31" s="738"/>
      <c r="N31" s="750"/>
      <c r="O31" s="738"/>
      <c r="P31" s="750"/>
      <c r="Q31" s="738"/>
      <c r="R31" s="750"/>
      <c r="S31" s="738"/>
    </row>
    <row r="32" spans="1:19" s="739" customFormat="1" ht="12" customHeight="1">
      <c r="A32" s="755"/>
      <c r="B32" s="755"/>
      <c r="C32" s="761" t="s">
        <v>2</v>
      </c>
      <c r="D32" s="761"/>
      <c r="E32" s="761" t="s">
        <v>3</v>
      </c>
      <c r="F32" s="761" t="s">
        <v>4</v>
      </c>
      <c r="G32" s="761" t="s">
        <v>5</v>
      </c>
      <c r="H32" s="761" t="s">
        <v>6</v>
      </c>
      <c r="I32" s="761"/>
      <c r="J32" s="762"/>
      <c r="K32" s="762"/>
      <c r="L32" s="762"/>
      <c r="M32" s="762"/>
      <c r="N32" s="762"/>
      <c r="O32" s="762"/>
      <c r="P32" s="762"/>
      <c r="Q32" s="762"/>
      <c r="R32" s="762"/>
      <c r="S32" s="762"/>
    </row>
    <row r="33" spans="1:19" s="739" customFormat="1" ht="24.9" customHeight="1">
      <c r="A33" s="1015" t="s">
        <v>338</v>
      </c>
      <c r="B33" s="755"/>
      <c r="C33" s="1018">
        <v>0</v>
      </c>
      <c r="D33" s="1019"/>
      <c r="E33" s="751">
        <v>0</v>
      </c>
      <c r="F33" s="751">
        <v>0</v>
      </c>
      <c r="G33" s="752">
        <v>0</v>
      </c>
      <c r="H33" s="751">
        <v>0</v>
      </c>
      <c r="I33" s="760" t="s">
        <v>339</v>
      </c>
      <c r="J33" s="755"/>
      <c r="K33" s="754" t="s">
        <v>353</v>
      </c>
      <c r="L33" s="760"/>
      <c r="M33" s="754" t="s">
        <v>354</v>
      </c>
      <c r="N33" s="760"/>
      <c r="O33" s="754" t="s">
        <v>416</v>
      </c>
      <c r="P33" s="760"/>
      <c r="Q33" s="754" t="s">
        <v>422</v>
      </c>
      <c r="R33" s="760"/>
      <c r="S33" s="754" t="s">
        <v>423</v>
      </c>
    </row>
    <row r="34" spans="1:19" s="739" customFormat="1" ht="6" customHeight="1">
      <c r="A34" s="1016"/>
      <c r="B34" s="755"/>
      <c r="C34" s="765"/>
      <c r="D34" s="765"/>
      <c r="E34" s="766"/>
      <c r="F34" s="766"/>
      <c r="G34" s="766"/>
      <c r="H34" s="766"/>
      <c r="I34" s="760"/>
      <c r="J34" s="755"/>
      <c r="K34" s="760"/>
      <c r="L34" s="760"/>
      <c r="M34" s="760"/>
      <c r="N34" s="760"/>
      <c r="O34" s="760"/>
      <c r="P34" s="760"/>
      <c r="Q34" s="760"/>
      <c r="R34" s="760"/>
      <c r="S34" s="760"/>
    </row>
    <row r="35" spans="1:19" s="739" customFormat="1" ht="24.9" customHeight="1">
      <c r="A35" s="1016"/>
      <c r="B35" s="755"/>
      <c r="C35" s="1017">
        <v>0</v>
      </c>
      <c r="D35" s="1017"/>
      <c r="E35" s="751">
        <v>0</v>
      </c>
      <c r="F35" s="753">
        <v>0</v>
      </c>
      <c r="G35" s="752">
        <v>0</v>
      </c>
      <c r="H35" s="751">
        <v>0</v>
      </c>
      <c r="I35" s="760" t="s">
        <v>340</v>
      </c>
      <c r="J35" s="755"/>
      <c r="K35" s="754" t="s">
        <v>349</v>
      </c>
      <c r="L35" s="760"/>
      <c r="M35" s="754" t="s">
        <v>350</v>
      </c>
      <c r="N35" s="760"/>
      <c r="O35" s="754" t="s">
        <v>414</v>
      </c>
      <c r="P35" s="760"/>
      <c r="Q35" s="754" t="s">
        <v>418</v>
      </c>
      <c r="R35" s="760"/>
      <c r="S35" s="754" t="s">
        <v>419</v>
      </c>
    </row>
    <row r="36" spans="1:19" s="739" customFormat="1" ht="6" customHeight="1">
      <c r="A36" s="1016"/>
      <c r="B36" s="755"/>
      <c r="C36" s="765"/>
      <c r="D36" s="765"/>
      <c r="E36" s="766"/>
      <c r="F36" s="766"/>
      <c r="G36" s="766"/>
      <c r="H36" s="766"/>
      <c r="I36" s="760"/>
      <c r="J36" s="755"/>
      <c r="K36" s="760"/>
      <c r="L36" s="760"/>
      <c r="M36" s="760"/>
      <c r="N36" s="760"/>
      <c r="O36" s="760"/>
      <c r="P36" s="760"/>
      <c r="Q36" s="760"/>
      <c r="R36" s="760"/>
      <c r="S36" s="760"/>
    </row>
    <row r="37" spans="1:19" s="739" customFormat="1" ht="24.9" customHeight="1">
      <c r="A37" s="1016"/>
      <c r="B37" s="755"/>
      <c r="C37" s="1017">
        <v>0</v>
      </c>
      <c r="D37" s="1017"/>
      <c r="E37" s="751">
        <v>0</v>
      </c>
      <c r="F37" s="753">
        <v>0</v>
      </c>
      <c r="G37" s="752">
        <v>0</v>
      </c>
      <c r="H37" s="751">
        <v>0</v>
      </c>
      <c r="I37" s="760" t="s">
        <v>341</v>
      </c>
      <c r="J37" s="755"/>
      <c r="K37" s="754" t="s">
        <v>351</v>
      </c>
      <c r="L37" s="760"/>
      <c r="M37" s="754" t="s">
        <v>352</v>
      </c>
      <c r="N37" s="760"/>
      <c r="O37" s="754" t="s">
        <v>415</v>
      </c>
      <c r="P37" s="760"/>
      <c r="Q37" s="754" t="s">
        <v>420</v>
      </c>
      <c r="R37" s="760"/>
      <c r="S37" s="754" t="s">
        <v>421</v>
      </c>
    </row>
    <row r="38" spans="1:19" s="739" customFormat="1" ht="12" customHeight="1">
      <c r="A38" s="755"/>
      <c r="B38" s="755"/>
      <c r="C38" s="763" t="s">
        <v>2</v>
      </c>
      <c r="D38" s="763"/>
      <c r="E38" s="763" t="s">
        <v>3</v>
      </c>
      <c r="F38" s="763" t="s">
        <v>4</v>
      </c>
      <c r="G38" s="763" t="s">
        <v>5</v>
      </c>
      <c r="H38" s="763" t="s">
        <v>6</v>
      </c>
      <c r="I38" s="761"/>
      <c r="J38" s="762"/>
      <c r="K38" s="764"/>
      <c r="L38" s="764"/>
      <c r="M38" s="764"/>
      <c r="N38" s="764"/>
      <c r="O38" s="764"/>
      <c r="P38" s="764"/>
      <c r="Q38" s="764"/>
      <c r="R38" s="764"/>
      <c r="S38" s="764"/>
    </row>
    <row r="39" spans="1:19" s="739" customFormat="1" ht="24.9" customHeight="1">
      <c r="A39" s="1015" t="s">
        <v>342</v>
      </c>
      <c r="B39" s="755"/>
      <c r="C39" s="1017">
        <v>0</v>
      </c>
      <c r="D39" s="1017"/>
      <c r="E39" s="751">
        <v>0</v>
      </c>
      <c r="F39" s="751">
        <v>0</v>
      </c>
      <c r="G39" s="752">
        <v>0</v>
      </c>
      <c r="H39" s="751">
        <v>0</v>
      </c>
      <c r="I39" s="760" t="s">
        <v>339</v>
      </c>
      <c r="J39" s="755"/>
      <c r="K39" s="754" t="s">
        <v>353</v>
      </c>
      <c r="L39" s="760"/>
      <c r="M39" s="754" t="s">
        <v>354</v>
      </c>
      <c r="N39" s="760"/>
      <c r="O39" s="754" t="s">
        <v>416</v>
      </c>
      <c r="P39" s="760"/>
      <c r="Q39" s="754" t="s">
        <v>422</v>
      </c>
      <c r="R39" s="760"/>
      <c r="S39" s="754" t="s">
        <v>423</v>
      </c>
    </row>
    <row r="40" spans="1:19" s="739" customFormat="1" ht="6" customHeight="1">
      <c r="A40" s="1016"/>
      <c r="B40" s="755"/>
      <c r="C40" s="765"/>
      <c r="D40" s="765"/>
      <c r="E40" s="766"/>
      <c r="F40" s="766"/>
      <c r="G40" s="766"/>
      <c r="H40" s="766"/>
      <c r="I40" s="760"/>
      <c r="J40" s="755"/>
      <c r="K40" s="760"/>
      <c r="L40" s="760"/>
      <c r="M40" s="760"/>
      <c r="N40" s="760"/>
      <c r="O40" s="760"/>
      <c r="P40" s="760"/>
      <c r="Q40" s="760"/>
      <c r="R40" s="760"/>
      <c r="S40" s="760"/>
    </row>
    <row r="41" spans="1:19" s="739" customFormat="1" ht="24.9" customHeight="1">
      <c r="A41" s="1016"/>
      <c r="B41" s="755"/>
      <c r="C41" s="1017">
        <v>0</v>
      </c>
      <c r="D41" s="1017"/>
      <c r="E41" s="751">
        <v>0</v>
      </c>
      <c r="F41" s="753">
        <v>0</v>
      </c>
      <c r="G41" s="752">
        <v>0</v>
      </c>
      <c r="H41" s="751">
        <v>0</v>
      </c>
      <c r="I41" s="760" t="s">
        <v>340</v>
      </c>
      <c r="J41" s="755"/>
      <c r="K41" s="754" t="s">
        <v>349</v>
      </c>
      <c r="L41" s="760"/>
      <c r="M41" s="754" t="s">
        <v>350</v>
      </c>
      <c r="N41" s="760"/>
      <c r="O41" s="754" t="s">
        <v>414</v>
      </c>
      <c r="P41" s="760"/>
      <c r="Q41" s="754" t="s">
        <v>418</v>
      </c>
      <c r="R41" s="760"/>
      <c r="S41" s="754" t="s">
        <v>419</v>
      </c>
    </row>
    <row r="42" spans="1:19" s="739" customFormat="1" ht="6" customHeight="1">
      <c r="A42" s="1016"/>
      <c r="B42" s="755"/>
      <c r="C42" s="765"/>
      <c r="D42" s="765"/>
      <c r="E42" s="766"/>
      <c r="F42" s="766"/>
      <c r="G42" s="766"/>
      <c r="H42" s="766"/>
      <c r="I42" s="760"/>
      <c r="J42" s="755"/>
      <c r="K42" s="760"/>
      <c r="L42" s="760"/>
      <c r="M42" s="760"/>
      <c r="N42" s="760"/>
      <c r="O42" s="760"/>
      <c r="P42" s="760"/>
      <c r="Q42" s="760"/>
      <c r="R42" s="760"/>
      <c r="S42" s="760"/>
    </row>
    <row r="43" spans="1:19" s="739" customFormat="1" ht="24.9" customHeight="1">
      <c r="A43" s="1016"/>
      <c r="B43" s="755"/>
      <c r="C43" s="1017">
        <v>0</v>
      </c>
      <c r="D43" s="1017"/>
      <c r="E43" s="751">
        <v>0</v>
      </c>
      <c r="F43" s="753">
        <v>0</v>
      </c>
      <c r="G43" s="752">
        <v>0</v>
      </c>
      <c r="H43" s="751">
        <v>0</v>
      </c>
      <c r="I43" s="760" t="s">
        <v>341</v>
      </c>
      <c r="J43" s="755"/>
      <c r="K43" s="754" t="s">
        <v>351</v>
      </c>
      <c r="L43" s="760"/>
      <c r="M43" s="754" t="s">
        <v>352</v>
      </c>
      <c r="N43" s="760"/>
      <c r="O43" s="754" t="s">
        <v>415</v>
      </c>
      <c r="P43" s="760"/>
      <c r="Q43" s="754" t="s">
        <v>420</v>
      </c>
      <c r="R43" s="760"/>
      <c r="S43" s="754" t="s">
        <v>421</v>
      </c>
    </row>
    <row r="44" spans="1:19" s="737" customFormat="1" ht="6" customHeight="1">
      <c r="C44" s="741"/>
      <c r="D44" s="741"/>
      <c r="E44" s="741"/>
      <c r="F44" s="741"/>
      <c r="G44" s="741"/>
      <c r="H44" s="741"/>
      <c r="I44" s="741"/>
      <c r="J44" s="742"/>
      <c r="K44" s="742"/>
      <c r="L44" s="742"/>
      <c r="M44" s="742"/>
      <c r="N44" s="742"/>
      <c r="O44" s="742"/>
      <c r="P44" s="742"/>
      <c r="Q44" s="742"/>
      <c r="R44" s="742"/>
      <c r="S44" s="742"/>
    </row>
    <row r="45" spans="1:19" s="750" customFormat="1" ht="6" customHeight="1"/>
    <row r="46" spans="1:19" s="737" customFormat="1" ht="30" customHeight="1">
      <c r="A46" s="774">
        <v>8</v>
      </c>
      <c r="C46" s="1020" t="s">
        <v>430</v>
      </c>
      <c r="D46" s="1020"/>
      <c r="E46" s="1020"/>
      <c r="F46" s="1020"/>
      <c r="G46" s="772" t="s">
        <v>333</v>
      </c>
      <c r="H46" s="736"/>
      <c r="I46" s="773" t="s">
        <v>343</v>
      </c>
      <c r="K46" s="738">
        <f>ROUND(IF($I$46="1/2-time",K47,K48),0)</f>
        <v>0</v>
      </c>
      <c r="M46" s="738">
        <f>ROUND(IF($I$46="1/2-time",M47,M48),0)</f>
        <v>0</v>
      </c>
      <c r="O46" s="738">
        <f>ROUND(IF($I$46="1/2-time",O47,O48),0)</f>
        <v>0</v>
      </c>
      <c r="Q46" s="738">
        <f>ROUND(IF($I$46="1/2-time",Q47,Q48),0)</f>
        <v>0</v>
      </c>
      <c r="S46" s="738">
        <f>ROUND(IF($I$46="1/2-time",S47,S48),0)</f>
        <v>0</v>
      </c>
    </row>
    <row r="47" spans="1:19" s="737" customFormat="1" ht="15" hidden="1">
      <c r="A47" s="737">
        <v>8</v>
      </c>
      <c r="C47" s="1021" t="s">
        <v>335</v>
      </c>
      <c r="D47" s="1021"/>
      <c r="E47" s="1021"/>
      <c r="F47" s="1021"/>
      <c r="G47" s="736"/>
      <c r="H47" s="736"/>
      <c r="I47" s="736" t="s">
        <v>336</v>
      </c>
      <c r="K47" s="738">
        <f>+C53*VLOOKUP(K53,$I$153:$Q$179,5,FALSE)+C55*VLOOKUP(K55,$I$153:$Q$179,5,FALSE)+C57*VLOOKUP(K57,$I$153:$Q$179,5,FALSE)+C59*VLOOKUP(K59,$I$153:$Q$179,9,FALSE)+C61*VLOOKUP(K61,$I$153:$Q$179,9,FALSE)+C63*VLOOKUP(K63,$I$153:$Q$179,9,FALSE)</f>
        <v>0</v>
      </c>
      <c r="L47" s="738"/>
      <c r="M47" s="738">
        <f>+E53*VLOOKUP(M53,$I$153:$Q$179,5,FALSE)+E55*VLOOKUP(M55,$I$153:$Q$179,5,FALSE)+E57*VLOOKUP(M57,$I$153:$Q$179,5,FALSE)+E59*VLOOKUP(M59,$I$153:$Q$179,9,FALSE)+E61*VLOOKUP(M61,$I$153:$Q$179,9,FALSE)+E63*VLOOKUP(M63,$I$153:$Q$179,9,FALSE)</f>
        <v>0</v>
      </c>
      <c r="N47" s="738"/>
      <c r="O47" s="738">
        <f>+F53*VLOOKUP(O53,$I$153:$Q$179,5,FALSE)+F55*VLOOKUP(O55,$I$153:$Q$179,5,FALSE)+F57*VLOOKUP(O57,$I$153:$Q$179,5,FALSE)+F59*VLOOKUP(O59,$I$153:$Q$179,9,FALSE)+F61*VLOOKUP(O61,$I$153:$Q$179,9,FALSE)+F63*VLOOKUP(O63,$I$153:$Q$179,9,FALSE)</f>
        <v>0</v>
      </c>
      <c r="P47" s="738"/>
      <c r="Q47" s="738">
        <f>+G53*VLOOKUP(Q53,$I$153:$Q$179,5,FALSE)+G55*VLOOKUP(Q55,$I$153:$Q$179,5,FALSE)+G57*VLOOKUP(Q57,$I$153:$Q$179,5,FALSE)+G59*VLOOKUP(Q59,$I$153:$Q$179,9,FALSE)+G61*VLOOKUP(Q61,$I$153:$Q$179,9,FALSE)+G63*VLOOKUP(Q63,$I$153:$Q$179,9,FALSE)</f>
        <v>0</v>
      </c>
      <c r="R47" s="738"/>
      <c r="S47" s="738">
        <f>+H53*VLOOKUP(S53,$I$153:$Q$179,5,FALSE)+H55*VLOOKUP(S55,$I$153:$Q$179,5,FALSE)+H57*VLOOKUP(S57,$I$153:$Q$179,5,FALSE)+H59*VLOOKUP(S59,$I$153:$Q$179,9,FALSE)+H61*VLOOKUP(S61,$I$153:$Q$179,9,FALSE)+H63*VLOOKUP(S63,$I$153:$Q$179,9,FALSE)</f>
        <v>0</v>
      </c>
    </row>
    <row r="48" spans="1:19" s="737" customFormat="1" ht="18" hidden="1" customHeight="1">
      <c r="A48" s="737">
        <v>8</v>
      </c>
      <c r="C48" s="1021" t="s">
        <v>335</v>
      </c>
      <c r="D48" s="1021"/>
      <c r="E48" s="1021"/>
      <c r="F48" s="1021"/>
      <c r="G48" s="736"/>
      <c r="H48" s="736"/>
      <c r="I48" s="736" t="s">
        <v>337</v>
      </c>
      <c r="K48" s="738">
        <f>+C53*VLOOKUP(K53,$I$153:$Q$179,3,FALSE)+C55*VLOOKUP(K55,$I$153:$Q$179,3,FALSE)+C57*VLOOKUP(K57,$I$153:$Q$179,3,FALSE)+C59*VLOOKUP(K59,$I$153:$Q$179,7,FALSE)+C61*VLOOKUP(K61,$I$153:$Q$179,7,FALSE)+C63*VLOOKUP(K63,$I$153:$Q$179,7,FALSE)</f>
        <v>0</v>
      </c>
      <c r="M48" s="738">
        <f>+E53*VLOOKUP(M53,$I$153:$Q$179,3,FALSE)+E55*VLOOKUP(M55,$I$153:$Q$179,3,FALSE)+E57*VLOOKUP(M57,$I$153:$Q$179,3,FALSE)+E59*VLOOKUP(M59,$I$153:$Q$179,7,FALSE)+E61*VLOOKUP(M61,$I$153:$Q$179,7,FALSE)+E63*VLOOKUP(M63,$I$153:$Q$179,7,FALSE)</f>
        <v>0</v>
      </c>
      <c r="O48" s="738">
        <f>+F53*VLOOKUP(O53,$I$153:$Q$179,3,FALSE)+F55*VLOOKUP(O55,$I$153:$Q$179,3,FALSE)+F57*VLOOKUP(O57,$I$153:$Q$179,3,FALSE)+F59*VLOOKUP(O59,$I$153:$Q$179,7,FALSE)+F61*VLOOKUP(O61,$I$153:$Q$179,7,FALSE)+F63*VLOOKUP(O63,$I$153:$Q$179,7,FALSE)</f>
        <v>0</v>
      </c>
      <c r="Q48" s="738">
        <f>+G53*VLOOKUP(Q53,$I$153:$Q$179,3,FALSE)+G55*VLOOKUP(Q55,$I$153:$Q$179,3,FALSE)+G57*VLOOKUP(Q57,$I$153:$Q$179,3,FALSE)+G59*VLOOKUP(Q59,$I$153:$Q$179,7,FALSE)+G61*VLOOKUP(Q61,$I$153:$Q$179,7,FALSE)+G63*VLOOKUP(Q63,$I$153:$Q$179,7,FALSE)</f>
        <v>0</v>
      </c>
      <c r="S48" s="738">
        <f>+H53*VLOOKUP(S53,$I$153:$Q$179,3,FALSE)+H55*VLOOKUP(S55,$I$153:$Q$179,3,FALSE)+H57*VLOOKUP(S57,$I$153:$Q$179,3,FALSE)+H59*VLOOKUP(S59,$I$153:$Q$179,7,FALSE)+H61*VLOOKUP(S61,$I$153:$Q$179,7,FALSE)+H63*VLOOKUP(S63,$I$153:$Q$179,7,FALSE)</f>
        <v>0</v>
      </c>
    </row>
    <row r="49" spans="1:19" s="737" customFormat="1" ht="6" customHeight="1">
      <c r="C49" s="767"/>
      <c r="D49" s="767"/>
      <c r="E49" s="767"/>
      <c r="F49" s="767"/>
      <c r="G49" s="767"/>
      <c r="H49" s="767"/>
      <c r="I49" s="768"/>
      <c r="J49" s="769"/>
      <c r="K49" s="769"/>
      <c r="L49" s="769"/>
      <c r="M49" s="769"/>
      <c r="N49" s="769"/>
      <c r="O49" s="769"/>
      <c r="P49" s="769"/>
      <c r="Q49" s="769"/>
      <c r="R49" s="769"/>
      <c r="S49" s="769"/>
    </row>
    <row r="50" spans="1:19" s="739" customFormat="1" ht="6" customHeight="1">
      <c r="A50" s="756"/>
      <c r="C50" s="770"/>
      <c r="D50" s="770"/>
      <c r="E50" s="770"/>
      <c r="F50" s="771"/>
      <c r="G50" s="771"/>
      <c r="H50" s="770"/>
      <c r="I50" s="760"/>
      <c r="J50" s="755"/>
      <c r="K50" s="760"/>
      <c r="L50" s="760"/>
      <c r="M50" s="760"/>
      <c r="N50" s="760"/>
      <c r="O50" s="760"/>
      <c r="P50" s="760"/>
      <c r="Q50" s="760"/>
      <c r="R50" s="760"/>
      <c r="S50" s="760"/>
    </row>
    <row r="51" spans="1:19" s="739" customFormat="1" ht="24.9" customHeight="1">
      <c r="A51" s="749"/>
      <c r="B51" s="755"/>
      <c r="C51" s="1024" t="s">
        <v>431</v>
      </c>
      <c r="D51" s="1025"/>
      <c r="E51" s="1025"/>
      <c r="F51" s="1025"/>
      <c r="G51" s="1025"/>
      <c r="H51" s="1026"/>
      <c r="I51" s="760"/>
      <c r="J51" s="755"/>
      <c r="K51" s="738"/>
      <c r="L51" s="760"/>
      <c r="M51" s="738"/>
      <c r="N51" s="750"/>
      <c r="O51" s="738"/>
      <c r="P51" s="750"/>
      <c r="Q51" s="738"/>
      <c r="R51" s="750"/>
      <c r="S51" s="738"/>
    </row>
    <row r="52" spans="1:19" s="739" customFormat="1" ht="12" customHeight="1">
      <c r="A52" s="755"/>
      <c r="B52" s="755"/>
      <c r="C52" s="761" t="s">
        <v>2</v>
      </c>
      <c r="D52" s="761"/>
      <c r="E52" s="761" t="s">
        <v>3</v>
      </c>
      <c r="F52" s="761" t="s">
        <v>4</v>
      </c>
      <c r="G52" s="761" t="s">
        <v>5</v>
      </c>
      <c r="H52" s="761" t="s">
        <v>6</v>
      </c>
      <c r="I52" s="761"/>
      <c r="J52" s="762"/>
      <c r="K52" s="762"/>
      <c r="L52" s="762"/>
      <c r="M52" s="762"/>
      <c r="N52" s="762"/>
      <c r="O52" s="762"/>
      <c r="P52" s="762"/>
      <c r="Q52" s="762"/>
      <c r="R52" s="762"/>
      <c r="S52" s="762"/>
    </row>
    <row r="53" spans="1:19" s="739" customFormat="1" ht="24.9" customHeight="1">
      <c r="A53" s="1015" t="s">
        <v>338</v>
      </c>
      <c r="B53" s="755"/>
      <c r="C53" s="1018">
        <v>0</v>
      </c>
      <c r="D53" s="1019"/>
      <c r="E53" s="751">
        <v>0</v>
      </c>
      <c r="F53" s="751">
        <v>0</v>
      </c>
      <c r="G53" s="752">
        <v>0</v>
      </c>
      <c r="H53" s="751">
        <v>0</v>
      </c>
      <c r="I53" s="760" t="s">
        <v>339</v>
      </c>
      <c r="J53" s="755"/>
      <c r="K53" s="754" t="s">
        <v>353</v>
      </c>
      <c r="L53" s="760"/>
      <c r="M53" s="754" t="s">
        <v>354</v>
      </c>
      <c r="N53" s="760"/>
      <c r="O53" s="754" t="s">
        <v>416</v>
      </c>
      <c r="P53" s="760"/>
      <c r="Q53" s="754" t="s">
        <v>422</v>
      </c>
      <c r="R53" s="760"/>
      <c r="S53" s="754" t="s">
        <v>423</v>
      </c>
    </row>
    <row r="54" spans="1:19" s="739" customFormat="1" ht="6" customHeight="1">
      <c r="A54" s="1016"/>
      <c r="B54" s="755"/>
      <c r="C54" s="765"/>
      <c r="D54" s="765"/>
      <c r="E54" s="766"/>
      <c r="F54" s="766"/>
      <c r="G54" s="766"/>
      <c r="H54" s="766"/>
      <c r="I54" s="760"/>
      <c r="J54" s="755"/>
      <c r="K54" s="760"/>
      <c r="L54" s="760"/>
      <c r="M54" s="760"/>
      <c r="N54" s="760"/>
      <c r="O54" s="760"/>
      <c r="P54" s="760"/>
      <c r="Q54" s="760"/>
      <c r="R54" s="760"/>
      <c r="S54" s="760"/>
    </row>
    <row r="55" spans="1:19" s="739" customFormat="1" ht="24.9" customHeight="1">
      <c r="A55" s="1016"/>
      <c r="B55" s="755"/>
      <c r="C55" s="1017">
        <v>0</v>
      </c>
      <c r="D55" s="1017"/>
      <c r="E55" s="751">
        <v>0</v>
      </c>
      <c r="F55" s="753">
        <v>0</v>
      </c>
      <c r="G55" s="752">
        <v>0</v>
      </c>
      <c r="H55" s="751">
        <v>0</v>
      </c>
      <c r="I55" s="760" t="s">
        <v>340</v>
      </c>
      <c r="J55" s="755"/>
      <c r="K55" s="754" t="s">
        <v>349</v>
      </c>
      <c r="L55" s="760"/>
      <c r="M55" s="754" t="s">
        <v>350</v>
      </c>
      <c r="N55" s="760"/>
      <c r="O55" s="754" t="s">
        <v>414</v>
      </c>
      <c r="P55" s="760"/>
      <c r="Q55" s="754" t="s">
        <v>418</v>
      </c>
      <c r="R55" s="760"/>
      <c r="S55" s="754" t="s">
        <v>419</v>
      </c>
    </row>
    <row r="56" spans="1:19" s="739" customFormat="1" ht="6" customHeight="1">
      <c r="A56" s="1016"/>
      <c r="B56" s="755"/>
      <c r="C56" s="765"/>
      <c r="D56" s="765"/>
      <c r="E56" s="766"/>
      <c r="F56" s="766"/>
      <c r="G56" s="766"/>
      <c r="H56" s="766"/>
      <c r="I56" s="760"/>
      <c r="J56" s="755"/>
      <c r="K56" s="760"/>
      <c r="L56" s="760"/>
      <c r="M56" s="760"/>
      <c r="N56" s="760"/>
      <c r="O56" s="760"/>
      <c r="P56" s="760"/>
      <c r="Q56" s="760"/>
      <c r="R56" s="760"/>
      <c r="S56" s="760"/>
    </row>
    <row r="57" spans="1:19" s="739" customFormat="1" ht="24.9" customHeight="1">
      <c r="A57" s="1016"/>
      <c r="B57" s="755"/>
      <c r="C57" s="1017">
        <v>0</v>
      </c>
      <c r="D57" s="1017"/>
      <c r="E57" s="751">
        <v>0</v>
      </c>
      <c r="F57" s="753">
        <v>0</v>
      </c>
      <c r="G57" s="752">
        <v>0</v>
      </c>
      <c r="H57" s="751">
        <v>0</v>
      </c>
      <c r="I57" s="760" t="s">
        <v>341</v>
      </c>
      <c r="J57" s="755"/>
      <c r="K57" s="754" t="s">
        <v>351</v>
      </c>
      <c r="L57" s="760"/>
      <c r="M57" s="754" t="s">
        <v>352</v>
      </c>
      <c r="N57" s="760"/>
      <c r="O57" s="754" t="s">
        <v>415</v>
      </c>
      <c r="P57" s="760"/>
      <c r="Q57" s="754" t="s">
        <v>420</v>
      </c>
      <c r="R57" s="760"/>
      <c r="S57" s="754" t="s">
        <v>421</v>
      </c>
    </row>
    <row r="58" spans="1:19" s="739" customFormat="1" ht="12" customHeight="1">
      <c r="A58" s="755"/>
      <c r="B58" s="755"/>
      <c r="C58" s="763" t="s">
        <v>2</v>
      </c>
      <c r="D58" s="763"/>
      <c r="E58" s="763" t="s">
        <v>3</v>
      </c>
      <c r="F58" s="763" t="s">
        <v>4</v>
      </c>
      <c r="G58" s="763" t="s">
        <v>5</v>
      </c>
      <c r="H58" s="763" t="s">
        <v>6</v>
      </c>
      <c r="I58" s="761"/>
      <c r="J58" s="762"/>
      <c r="K58" s="764"/>
      <c r="L58" s="764"/>
      <c r="M58" s="764"/>
      <c r="N58" s="764"/>
      <c r="O58" s="764"/>
      <c r="P58" s="764"/>
      <c r="Q58" s="764"/>
      <c r="R58" s="764"/>
      <c r="S58" s="764"/>
    </row>
    <row r="59" spans="1:19" s="739" customFormat="1" ht="24.9" customHeight="1">
      <c r="A59" s="1015" t="s">
        <v>342</v>
      </c>
      <c r="B59" s="755"/>
      <c r="C59" s="1017">
        <v>0</v>
      </c>
      <c r="D59" s="1017"/>
      <c r="E59" s="751">
        <v>0</v>
      </c>
      <c r="F59" s="751">
        <v>0</v>
      </c>
      <c r="G59" s="752">
        <v>0</v>
      </c>
      <c r="H59" s="751">
        <v>0</v>
      </c>
      <c r="I59" s="760" t="s">
        <v>339</v>
      </c>
      <c r="J59" s="755"/>
      <c r="K59" s="754" t="s">
        <v>353</v>
      </c>
      <c r="L59" s="760"/>
      <c r="M59" s="754" t="s">
        <v>354</v>
      </c>
      <c r="N59" s="760"/>
      <c r="O59" s="754" t="s">
        <v>416</v>
      </c>
      <c r="P59" s="760"/>
      <c r="Q59" s="754" t="s">
        <v>422</v>
      </c>
      <c r="R59" s="760"/>
      <c r="S59" s="754" t="s">
        <v>423</v>
      </c>
    </row>
    <row r="60" spans="1:19" s="739" customFormat="1" ht="5.25" customHeight="1">
      <c r="A60" s="1016"/>
      <c r="B60" s="755"/>
      <c r="C60" s="765"/>
      <c r="D60" s="765"/>
      <c r="E60" s="766"/>
      <c r="F60" s="766"/>
      <c r="G60" s="766"/>
      <c r="H60" s="766"/>
      <c r="I60" s="760"/>
      <c r="J60" s="755"/>
      <c r="K60" s="760"/>
      <c r="L60" s="760"/>
      <c r="M60" s="760"/>
      <c r="N60" s="760"/>
      <c r="O60" s="760"/>
      <c r="P60" s="760"/>
      <c r="Q60" s="760"/>
      <c r="R60" s="760"/>
      <c r="S60" s="760"/>
    </row>
    <row r="61" spans="1:19" s="739" customFormat="1" ht="24.9" customHeight="1">
      <c r="A61" s="1016"/>
      <c r="B61" s="755"/>
      <c r="C61" s="1017">
        <v>0</v>
      </c>
      <c r="D61" s="1017"/>
      <c r="E61" s="751">
        <v>0</v>
      </c>
      <c r="F61" s="753">
        <v>0</v>
      </c>
      <c r="G61" s="752">
        <v>0</v>
      </c>
      <c r="H61" s="751">
        <v>0</v>
      </c>
      <c r="I61" s="760" t="s">
        <v>340</v>
      </c>
      <c r="J61" s="755"/>
      <c r="K61" s="754" t="s">
        <v>349</v>
      </c>
      <c r="L61" s="760"/>
      <c r="M61" s="754" t="s">
        <v>350</v>
      </c>
      <c r="N61" s="760"/>
      <c r="O61" s="754" t="s">
        <v>414</v>
      </c>
      <c r="P61" s="760"/>
      <c r="Q61" s="754" t="s">
        <v>418</v>
      </c>
      <c r="R61" s="760"/>
      <c r="S61" s="754" t="s">
        <v>419</v>
      </c>
    </row>
    <row r="62" spans="1:19" s="739" customFormat="1" ht="6" customHeight="1">
      <c r="A62" s="1016"/>
      <c r="B62" s="755"/>
      <c r="C62" s="765"/>
      <c r="D62" s="765"/>
      <c r="E62" s="766"/>
      <c r="F62" s="766"/>
      <c r="G62" s="766"/>
      <c r="H62" s="766"/>
      <c r="I62" s="760"/>
      <c r="J62" s="755"/>
      <c r="K62" s="760"/>
      <c r="L62" s="760"/>
      <c r="M62" s="760"/>
      <c r="N62" s="760"/>
      <c r="O62" s="760"/>
      <c r="P62" s="760"/>
      <c r="Q62" s="760"/>
      <c r="R62" s="760"/>
      <c r="S62" s="760"/>
    </row>
    <row r="63" spans="1:19" s="739" customFormat="1" ht="24.9" customHeight="1">
      <c r="A63" s="1016"/>
      <c r="B63" s="755"/>
      <c r="C63" s="1017">
        <v>0</v>
      </c>
      <c r="D63" s="1017"/>
      <c r="E63" s="751">
        <v>0</v>
      </c>
      <c r="F63" s="753">
        <v>0</v>
      </c>
      <c r="G63" s="752">
        <v>0</v>
      </c>
      <c r="H63" s="751">
        <v>0</v>
      </c>
      <c r="I63" s="760" t="s">
        <v>341</v>
      </c>
      <c r="J63" s="755"/>
      <c r="K63" s="754" t="s">
        <v>351</v>
      </c>
      <c r="L63" s="760"/>
      <c r="M63" s="754" t="s">
        <v>352</v>
      </c>
      <c r="N63" s="760"/>
      <c r="O63" s="754" t="s">
        <v>415</v>
      </c>
      <c r="P63" s="760"/>
      <c r="Q63" s="754" t="s">
        <v>420</v>
      </c>
      <c r="R63" s="760"/>
      <c r="S63" s="754" t="s">
        <v>421</v>
      </c>
    </row>
    <row r="64" spans="1:19" s="737" customFormat="1" ht="3.75" customHeight="1">
      <c r="C64" s="741"/>
      <c r="D64" s="741"/>
      <c r="E64" s="741"/>
      <c r="F64" s="741"/>
      <c r="G64" s="741"/>
      <c r="H64" s="741"/>
      <c r="I64" s="741"/>
      <c r="J64" s="742"/>
      <c r="K64" s="742"/>
      <c r="L64" s="742"/>
      <c r="M64" s="742"/>
      <c r="N64" s="742"/>
      <c r="O64" s="742"/>
      <c r="P64" s="742"/>
      <c r="Q64" s="742"/>
      <c r="R64" s="742"/>
      <c r="S64" s="742"/>
    </row>
    <row r="65" spans="1:19" s="658" customFormat="1" ht="6" customHeight="1">
      <c r="K65" s="660"/>
      <c r="M65" s="660"/>
      <c r="O65" s="660"/>
      <c r="Q65" s="660"/>
      <c r="S65" s="660"/>
    </row>
    <row r="66" spans="1:19" s="658" customFormat="1" ht="6" customHeight="1">
      <c r="K66" s="660"/>
      <c r="M66" s="660"/>
      <c r="O66" s="660"/>
      <c r="Q66" s="660"/>
      <c r="S66" s="660"/>
    </row>
    <row r="67" spans="1:19" s="737" customFormat="1" ht="44.25" customHeight="1">
      <c r="A67" s="774">
        <v>8</v>
      </c>
      <c r="C67" s="1020" t="s">
        <v>450</v>
      </c>
      <c r="D67" s="1020"/>
      <c r="E67" s="1020"/>
      <c r="F67" s="1020"/>
      <c r="G67" s="772" t="s">
        <v>333</v>
      </c>
      <c r="H67" s="791"/>
      <c r="I67" s="773" t="s">
        <v>343</v>
      </c>
      <c r="K67" s="738">
        <f>ROUND(IF($I67="1/2-time",K68,K69),0)</f>
        <v>0</v>
      </c>
      <c r="M67" s="738">
        <f>ROUND(IF($I$67="1/2-time",M68,M69),0)</f>
        <v>0</v>
      </c>
      <c r="O67" s="738">
        <f>ROUND(IF($I$67="1/2-time",O68,O69),0)</f>
        <v>0</v>
      </c>
      <c r="Q67" s="738">
        <f>ROUND(IF($I$67="1/2-time",Q68,Q69),0)</f>
        <v>0</v>
      </c>
      <c r="S67" s="738">
        <f>ROUND(IF($I$67="1/2-time",S68,S69),0)</f>
        <v>0</v>
      </c>
    </row>
    <row r="68" spans="1:19" s="737" customFormat="1" ht="14.25" hidden="1" customHeight="1">
      <c r="A68" s="737">
        <v>8</v>
      </c>
      <c r="C68" s="1021" t="s">
        <v>335</v>
      </c>
      <c r="D68" s="1021"/>
      <c r="E68" s="1021"/>
      <c r="F68" s="1021"/>
      <c r="G68" s="791"/>
      <c r="H68" s="791"/>
      <c r="I68" s="791" t="s">
        <v>336</v>
      </c>
      <c r="K68" s="738">
        <f>+C74*VLOOKUP(K74,$I$181:$Q$207,5,FALSE)+C76*VLOOKUP(K76,$I$181:$Q$207,5,FALSE)+C78*VLOOKUP(K78,$I$181:$Q$207,5,FALSE)+C80*VLOOKUP(K80,$I$181:$Q$207,9,FALSE)+C82*VLOOKUP(K82,$I$181:$Q$207,9,FALSE)+C84*VLOOKUP(K84,$I$181:$Q$207,9,FALSE)</f>
        <v>0</v>
      </c>
      <c r="L68" s="738"/>
      <c r="M68" s="738">
        <f>+E74*VLOOKUP(M74,$I$181:$Q$207,5,FALSE)+E76*VLOOKUP(M76,$I$181:$Q$207,5,FALSE)+E78*VLOOKUP(M78,$I$181:$Q$207,5,FALSE)+E80*VLOOKUP(M80,$I$181:$Q$207,9,FALSE)+E82*VLOOKUP(M82,$I$181:$Q$207,9,FALSE)+E84*VLOOKUP(M84,$I$181:$Q$207,9,FALSE)</f>
        <v>0</v>
      </c>
      <c r="N68" s="738"/>
      <c r="O68" s="738">
        <f>+F74*VLOOKUP(O74,$I$181:$Q$207,5,FALSE)+F76*VLOOKUP(O76,$I$181:$Q$207,5,FALSE)+F78*VLOOKUP(O78,$I$181:$Q$207,5,FALSE)+F80*VLOOKUP(O80,$I$181:$Q$207,9,FALSE)+F82*VLOOKUP(O82,$I$181:$Q$207,9,FALSE)+F84*VLOOKUP(O84,$I$181:$Q$207,9,FALSE)</f>
        <v>0</v>
      </c>
      <c r="P68" s="738"/>
      <c r="Q68" s="738">
        <f>+G74*VLOOKUP(Q74,$I$181:$Q$207,5,FALSE)+G76*VLOOKUP(Q76,$I$181:$Q$207,5,FALSE)+G78*VLOOKUP(Q78,$I$181:$Q$207,5,FALSE)+G80*VLOOKUP(Q80,$I$181:$Q$207,9,FALSE)+G82*VLOOKUP(Q82,$I$181:$Q$207,9,FALSE)+G84*VLOOKUP(Q84,$I$181:$Q$207,9,FALSE)</f>
        <v>0</v>
      </c>
      <c r="R68" s="738"/>
      <c r="S68" s="738">
        <f>+H74*VLOOKUP(S74,$I$181:$Q$207,5,FALSE)+H76*VLOOKUP(S76,$I$181:$Q$207,5,FALSE)+H78*VLOOKUP(S78,$I$181:$Q$207,5,FALSE)+H80*VLOOKUP(S80,$I$181:$Q$207,9,FALSE)+H82*VLOOKUP(S82,$I$181:$Q$207,9,FALSE)+H84*VLOOKUP(S84,$I$181:$Q$207,9,FALSE)</f>
        <v>0</v>
      </c>
    </row>
    <row r="69" spans="1:19" s="737" customFormat="1" ht="0.75" customHeight="1">
      <c r="A69" s="737">
        <v>8</v>
      </c>
      <c r="C69" s="1021" t="s">
        <v>335</v>
      </c>
      <c r="D69" s="1021"/>
      <c r="E69" s="1021"/>
      <c r="F69" s="1021"/>
      <c r="G69" s="791"/>
      <c r="H69" s="791"/>
      <c r="I69" s="791" t="s">
        <v>337</v>
      </c>
      <c r="K69" s="738">
        <f>+C74*VLOOKUP(K74,$I$181:$Q$207,3,FALSE)+C76*VLOOKUP(K76,$I$181:$Q$207,3,FALSE)+C78*VLOOKUP(K78,$I$181:$Q$207,3,FALSE)+C80*VLOOKUP(K80,$I$181:$Q$207,7,FALSE)+C82*VLOOKUP(K82,$I$181:$Q$207,7,FALSE)+C84*VLOOKUP(K84,$I$181:$Q$207,7,FALSE)</f>
        <v>0</v>
      </c>
      <c r="M69" s="738">
        <f>+E74*VLOOKUP(M74,$I$181:$Q$207,3,FALSE)+E76*VLOOKUP(M76,$I$181:$Q$207,3,FALSE)+E78*VLOOKUP(M78,$I$181:$Q$207,3,FALSE)+E80*VLOOKUP(M80,$I$181:$Q$207,7,FALSE)+E82*VLOOKUP(M82,$I$181:$Q$207,7,FALSE)+E84*VLOOKUP(M84,$I$181:$Q$207,7,FALSE)</f>
        <v>0</v>
      </c>
      <c r="O69" s="738">
        <f>+F74*VLOOKUP(O74,$I$181:$Q$207,3,FALSE)+F76*VLOOKUP(O76,$I$181:$Q$207,3,FALSE)+F78*VLOOKUP(O78,$I$181:$Q$207,3,FALSE)+F80*VLOOKUP(O80,$I$181:$Q$207,7,FALSE)+F82*VLOOKUP(O82,$I$181:$Q$207,7,FALSE)+F84*VLOOKUP(O84,$I$181:$Q$207,7,FALSE)</f>
        <v>0</v>
      </c>
      <c r="Q69" s="738">
        <f>+G74*VLOOKUP(Q74,$I$181:$Q$207,3,FALSE)+G76*VLOOKUP(Q76,$I$181:$Q$207,3,FALSE)+G78*VLOOKUP(Q78,$I$181:$Q$207,3,FALSE)+G80*VLOOKUP(Q80,$I$181:$Q$207,7,FALSE)+G82*VLOOKUP(Q82,$I$181:$Q$207,7,FALSE)+G84*VLOOKUP(Q84,$I$181:$Q$207,7,FALSE)</f>
        <v>0</v>
      </c>
      <c r="S69" s="738">
        <f>+H74*VLOOKUP(S74,$I$181:$Q$207,3,FALSE)+H76*VLOOKUP(S76,$I$181:$Q$207,3,FALSE)+H78*VLOOKUP(S78,$I$181:$Q$207,3,FALSE)+H80*VLOOKUP(S80,$I$181:$Q$207,7,FALSE)+H82*VLOOKUP(S82,$I$181:$Q$207,7,FALSE)+H84*VLOOKUP(S84,$I$181:$Q$207,7,FALSE)</f>
        <v>0</v>
      </c>
    </row>
    <row r="70" spans="1:19" s="737" customFormat="1" ht="15">
      <c r="C70" s="767"/>
      <c r="D70" s="767"/>
      <c r="E70" s="767"/>
      <c r="F70" s="767"/>
      <c r="G70" s="767"/>
      <c r="H70" s="767"/>
      <c r="I70" s="768"/>
      <c r="J70" s="769"/>
      <c r="K70" s="769"/>
      <c r="L70" s="769"/>
      <c r="M70" s="769"/>
      <c r="N70" s="769"/>
      <c r="O70" s="769"/>
      <c r="P70" s="769"/>
      <c r="Q70" s="769"/>
      <c r="R70" s="769"/>
      <c r="S70" s="769"/>
    </row>
    <row r="71" spans="1:19" s="739" customFormat="1" ht="30.75" customHeight="1">
      <c r="A71" s="756"/>
      <c r="C71" s="770"/>
      <c r="D71" s="770"/>
      <c r="E71" s="770"/>
      <c r="F71" s="771"/>
      <c r="G71" s="771"/>
      <c r="H71" s="770"/>
      <c r="I71" s="760"/>
      <c r="J71" s="755"/>
      <c r="K71" s="760"/>
      <c r="L71" s="760"/>
      <c r="M71" s="760"/>
      <c r="N71" s="760"/>
      <c r="O71" s="760"/>
      <c r="P71" s="760"/>
      <c r="Q71" s="760"/>
      <c r="R71" s="760"/>
      <c r="S71" s="760"/>
    </row>
    <row r="72" spans="1:19" s="739" customFormat="1" ht="24.9" customHeight="1">
      <c r="A72" s="749"/>
      <c r="B72" s="755"/>
      <c r="C72" s="1024" t="s">
        <v>451</v>
      </c>
      <c r="D72" s="1025"/>
      <c r="E72" s="1025"/>
      <c r="F72" s="1025"/>
      <c r="G72" s="1025"/>
      <c r="H72" s="1026"/>
      <c r="I72" s="760"/>
      <c r="J72" s="755"/>
      <c r="K72" s="738"/>
      <c r="L72" s="760"/>
      <c r="M72" s="738"/>
      <c r="N72" s="750"/>
      <c r="O72" s="738"/>
      <c r="P72" s="750"/>
      <c r="Q72" s="738"/>
      <c r="R72" s="750"/>
      <c r="S72" s="738"/>
    </row>
    <row r="73" spans="1:19" s="739" customFormat="1" ht="12" customHeight="1">
      <c r="A73" s="755"/>
      <c r="B73" s="755"/>
      <c r="C73" s="761" t="s">
        <v>2</v>
      </c>
      <c r="D73" s="761"/>
      <c r="E73" s="761" t="s">
        <v>3</v>
      </c>
      <c r="F73" s="761" t="s">
        <v>4</v>
      </c>
      <c r="G73" s="761" t="s">
        <v>5</v>
      </c>
      <c r="H73" s="761" t="s">
        <v>6</v>
      </c>
      <c r="I73" s="761"/>
      <c r="J73" s="762"/>
      <c r="K73" s="762"/>
      <c r="L73" s="762"/>
      <c r="M73" s="762"/>
      <c r="N73" s="762"/>
      <c r="O73" s="762"/>
      <c r="P73" s="762"/>
      <c r="Q73" s="762"/>
      <c r="R73" s="762"/>
      <c r="S73" s="762"/>
    </row>
    <row r="74" spans="1:19" s="739" customFormat="1" ht="24.9" customHeight="1">
      <c r="A74" s="1015" t="s">
        <v>338</v>
      </c>
      <c r="B74" s="755"/>
      <c r="C74" s="1018">
        <v>0</v>
      </c>
      <c r="D74" s="1019"/>
      <c r="E74" s="790">
        <v>0</v>
      </c>
      <c r="F74" s="790">
        <v>0</v>
      </c>
      <c r="G74" s="752">
        <v>0</v>
      </c>
      <c r="H74" s="790">
        <v>0</v>
      </c>
      <c r="I74" s="760" t="s">
        <v>339</v>
      </c>
      <c r="J74" s="755"/>
      <c r="K74" s="754" t="s">
        <v>353</v>
      </c>
      <c r="L74" s="760"/>
      <c r="M74" s="754" t="s">
        <v>354</v>
      </c>
      <c r="N74" s="760"/>
      <c r="O74" s="754" t="s">
        <v>416</v>
      </c>
      <c r="P74" s="760"/>
      <c r="Q74" s="754" t="s">
        <v>422</v>
      </c>
      <c r="R74" s="760"/>
      <c r="S74" s="754" t="s">
        <v>423</v>
      </c>
    </row>
    <row r="75" spans="1:19" s="739" customFormat="1" ht="6" customHeight="1">
      <c r="A75" s="1016"/>
      <c r="B75" s="755"/>
      <c r="C75" s="765"/>
      <c r="D75" s="765"/>
      <c r="E75" s="766"/>
      <c r="F75" s="766"/>
      <c r="G75" s="766"/>
      <c r="H75" s="766"/>
      <c r="I75" s="760"/>
      <c r="J75" s="755"/>
      <c r="K75" s="760"/>
      <c r="L75" s="760"/>
      <c r="M75" s="760"/>
      <c r="N75" s="760"/>
      <c r="O75" s="760"/>
      <c r="P75" s="760"/>
      <c r="Q75" s="760"/>
      <c r="R75" s="760"/>
      <c r="S75" s="760"/>
    </row>
    <row r="76" spans="1:19" s="739" customFormat="1" ht="24.9" customHeight="1">
      <c r="A76" s="1016"/>
      <c r="B76" s="755"/>
      <c r="C76" s="1017">
        <v>0</v>
      </c>
      <c r="D76" s="1017"/>
      <c r="E76" s="790">
        <v>0</v>
      </c>
      <c r="F76" s="753">
        <v>0</v>
      </c>
      <c r="G76" s="752">
        <v>0</v>
      </c>
      <c r="H76" s="790">
        <v>0</v>
      </c>
      <c r="I76" s="760" t="s">
        <v>340</v>
      </c>
      <c r="J76" s="755"/>
      <c r="K76" s="754" t="s">
        <v>349</v>
      </c>
      <c r="L76" s="760"/>
      <c r="M76" s="754" t="s">
        <v>350</v>
      </c>
      <c r="N76" s="760"/>
      <c r="O76" s="754" t="s">
        <v>414</v>
      </c>
      <c r="P76" s="760"/>
      <c r="Q76" s="754" t="s">
        <v>418</v>
      </c>
      <c r="R76" s="760"/>
      <c r="S76" s="754" t="s">
        <v>419</v>
      </c>
    </row>
    <row r="77" spans="1:19" s="739" customFormat="1" ht="6" customHeight="1">
      <c r="A77" s="1016"/>
      <c r="B77" s="755"/>
      <c r="C77" s="765"/>
      <c r="D77" s="765"/>
      <c r="E77" s="766"/>
      <c r="F77" s="766"/>
      <c r="G77" s="766"/>
      <c r="H77" s="766"/>
      <c r="I77" s="760"/>
      <c r="J77" s="755"/>
      <c r="K77" s="760"/>
      <c r="L77" s="760"/>
      <c r="M77" s="760"/>
      <c r="N77" s="760"/>
      <c r="O77" s="760"/>
      <c r="P77" s="760"/>
      <c r="Q77" s="760"/>
      <c r="R77" s="760"/>
      <c r="S77" s="760"/>
    </row>
    <row r="78" spans="1:19" s="739" customFormat="1" ht="24.9" customHeight="1">
      <c r="A78" s="1016"/>
      <c r="B78" s="755"/>
      <c r="C78" s="1017">
        <v>0</v>
      </c>
      <c r="D78" s="1017"/>
      <c r="E78" s="790">
        <v>0</v>
      </c>
      <c r="F78" s="753">
        <v>0</v>
      </c>
      <c r="G78" s="752">
        <v>0</v>
      </c>
      <c r="H78" s="790">
        <v>0</v>
      </c>
      <c r="I78" s="760" t="s">
        <v>341</v>
      </c>
      <c r="J78" s="755"/>
      <c r="K78" s="754" t="s">
        <v>351</v>
      </c>
      <c r="L78" s="760"/>
      <c r="M78" s="754" t="s">
        <v>352</v>
      </c>
      <c r="N78" s="760"/>
      <c r="O78" s="754" t="s">
        <v>415</v>
      </c>
      <c r="P78" s="760"/>
      <c r="Q78" s="754" t="s">
        <v>420</v>
      </c>
      <c r="R78" s="760"/>
      <c r="S78" s="754" t="s">
        <v>421</v>
      </c>
    </row>
    <row r="79" spans="1:19" s="739" customFormat="1" ht="12" customHeight="1">
      <c r="A79" s="755"/>
      <c r="B79" s="755"/>
      <c r="C79" s="763" t="s">
        <v>2</v>
      </c>
      <c r="D79" s="763"/>
      <c r="E79" s="763" t="s">
        <v>3</v>
      </c>
      <c r="F79" s="763" t="s">
        <v>4</v>
      </c>
      <c r="G79" s="763" t="s">
        <v>5</v>
      </c>
      <c r="H79" s="763" t="s">
        <v>6</v>
      </c>
      <c r="I79" s="761"/>
      <c r="J79" s="762"/>
      <c r="K79" s="764"/>
      <c r="L79" s="764"/>
      <c r="M79" s="764"/>
      <c r="N79" s="764"/>
      <c r="O79" s="764"/>
      <c r="P79" s="764"/>
      <c r="Q79" s="764"/>
      <c r="R79" s="764"/>
      <c r="S79" s="764"/>
    </row>
    <row r="80" spans="1:19" s="739" customFormat="1" ht="24.9" customHeight="1">
      <c r="A80" s="1015" t="s">
        <v>342</v>
      </c>
      <c r="B80" s="755"/>
      <c r="C80" s="1017"/>
      <c r="D80" s="1017"/>
      <c r="E80" s="790">
        <v>0</v>
      </c>
      <c r="F80" s="790">
        <v>0</v>
      </c>
      <c r="G80" s="752">
        <v>0</v>
      </c>
      <c r="H80" s="790">
        <v>0</v>
      </c>
      <c r="I80" s="760" t="s">
        <v>339</v>
      </c>
      <c r="J80" s="755"/>
      <c r="K80" s="754" t="s">
        <v>353</v>
      </c>
      <c r="L80" s="760"/>
      <c r="M80" s="754" t="s">
        <v>354</v>
      </c>
      <c r="N80" s="760"/>
      <c r="O80" s="754" t="s">
        <v>416</v>
      </c>
      <c r="P80" s="760"/>
      <c r="Q80" s="754" t="s">
        <v>422</v>
      </c>
      <c r="R80" s="760"/>
      <c r="S80" s="754" t="s">
        <v>423</v>
      </c>
    </row>
    <row r="81" spans="1:19" s="739" customFormat="1" ht="6" customHeight="1">
      <c r="A81" s="1016"/>
      <c r="B81" s="755"/>
      <c r="C81" s="765"/>
      <c r="D81" s="765"/>
      <c r="E81" s="766"/>
      <c r="F81" s="766"/>
      <c r="G81" s="766"/>
      <c r="H81" s="766"/>
      <c r="I81" s="760"/>
      <c r="J81" s="755"/>
      <c r="K81" s="760"/>
      <c r="L81" s="760"/>
      <c r="M81" s="760"/>
      <c r="N81" s="760"/>
      <c r="O81" s="760"/>
      <c r="P81" s="760"/>
      <c r="Q81" s="760"/>
      <c r="R81" s="760"/>
      <c r="S81" s="760"/>
    </row>
    <row r="82" spans="1:19" s="739" customFormat="1" ht="24.9" customHeight="1">
      <c r="A82" s="1016"/>
      <c r="B82" s="755"/>
      <c r="C82" s="1017">
        <v>0</v>
      </c>
      <c r="D82" s="1017"/>
      <c r="E82" s="790">
        <v>0</v>
      </c>
      <c r="F82" s="753">
        <v>0</v>
      </c>
      <c r="G82" s="752">
        <v>0</v>
      </c>
      <c r="H82" s="790">
        <v>0</v>
      </c>
      <c r="I82" s="760" t="s">
        <v>340</v>
      </c>
      <c r="J82" s="755"/>
      <c r="K82" s="754" t="s">
        <v>349</v>
      </c>
      <c r="L82" s="760"/>
      <c r="M82" s="754" t="s">
        <v>350</v>
      </c>
      <c r="N82" s="760"/>
      <c r="O82" s="754" t="s">
        <v>414</v>
      </c>
      <c r="P82" s="760"/>
      <c r="Q82" s="754" t="s">
        <v>418</v>
      </c>
      <c r="R82" s="760"/>
      <c r="S82" s="754" t="s">
        <v>419</v>
      </c>
    </row>
    <row r="83" spans="1:19" s="739" customFormat="1" ht="6.75" customHeight="1">
      <c r="A83" s="1016"/>
      <c r="B83" s="755"/>
      <c r="C83" s="765"/>
      <c r="D83" s="765"/>
      <c r="E83" s="766"/>
      <c r="F83" s="766"/>
      <c r="G83" s="766"/>
      <c r="H83" s="766"/>
      <c r="I83" s="760"/>
      <c r="J83" s="755"/>
      <c r="K83" s="760"/>
      <c r="L83" s="760"/>
      <c r="M83" s="760"/>
      <c r="N83" s="760"/>
      <c r="O83" s="760"/>
      <c r="P83" s="760"/>
      <c r="Q83" s="760"/>
      <c r="R83" s="760"/>
      <c r="S83" s="760"/>
    </row>
    <row r="84" spans="1:19" s="739" customFormat="1" ht="24.75" customHeight="1">
      <c r="A84" s="1016"/>
      <c r="B84" s="755"/>
      <c r="C84" s="1017">
        <v>0</v>
      </c>
      <c r="D84" s="1017"/>
      <c r="E84" s="790">
        <v>0</v>
      </c>
      <c r="F84" s="753">
        <v>0</v>
      </c>
      <c r="G84" s="752">
        <v>0</v>
      </c>
      <c r="H84" s="790">
        <v>0</v>
      </c>
      <c r="I84" s="760" t="s">
        <v>341</v>
      </c>
      <c r="J84" s="755"/>
      <c r="K84" s="754" t="s">
        <v>351</v>
      </c>
      <c r="L84" s="760"/>
      <c r="M84" s="754" t="s">
        <v>352</v>
      </c>
      <c r="N84" s="760"/>
      <c r="O84" s="754" t="s">
        <v>415</v>
      </c>
      <c r="P84" s="760"/>
      <c r="Q84" s="754" t="s">
        <v>420</v>
      </c>
      <c r="R84" s="760"/>
      <c r="S84" s="754" t="s">
        <v>421</v>
      </c>
    </row>
    <row r="85" spans="1:19" s="737" customFormat="1" ht="33" customHeight="1">
      <c r="A85" s="1029" t="s">
        <v>452</v>
      </c>
      <c r="B85" s="1030"/>
      <c r="C85" s="1030"/>
      <c r="D85" s="1030"/>
      <c r="E85" s="1030"/>
      <c r="F85" s="1030"/>
      <c r="G85" s="1030"/>
      <c r="H85" s="1030"/>
      <c r="I85" s="1030"/>
      <c r="K85" s="738"/>
      <c r="M85" s="738"/>
      <c r="O85" s="738"/>
      <c r="Q85" s="738"/>
      <c r="S85" s="738"/>
    </row>
    <row r="86" spans="1:19" s="737" customFormat="1" ht="5.25" customHeight="1">
      <c r="A86" s="1030"/>
      <c r="B86" s="1030"/>
      <c r="C86" s="1030"/>
      <c r="D86" s="1030"/>
      <c r="E86" s="1030"/>
      <c r="F86" s="1030"/>
      <c r="G86" s="1030"/>
      <c r="H86" s="1030"/>
      <c r="I86" s="1030"/>
      <c r="K86" s="738"/>
      <c r="M86" s="738"/>
      <c r="O86" s="738"/>
      <c r="Q86" s="738"/>
      <c r="S86" s="738"/>
    </row>
    <row r="87" spans="1:19" s="658" customFormat="1" ht="15" hidden="1">
      <c r="C87" s="1028"/>
      <c r="D87" s="1028"/>
      <c r="E87" s="1028"/>
      <c r="F87" s="1028"/>
      <c r="G87" s="1028"/>
      <c r="H87" s="1028"/>
      <c r="I87" s="1028"/>
      <c r="K87" s="660"/>
      <c r="M87" s="660"/>
      <c r="O87" s="660"/>
      <c r="Q87" s="660"/>
      <c r="S87" s="660"/>
    </row>
    <row r="88" spans="1:19" s="658" customFormat="1" ht="6" hidden="1" customHeight="1">
      <c r="K88" s="660"/>
      <c r="M88" s="660"/>
      <c r="O88" s="660"/>
      <c r="Q88" s="660"/>
      <c r="S88" s="660"/>
    </row>
    <row r="89" spans="1:19" s="658" customFormat="1" ht="15" hidden="1">
      <c r="C89" s="730"/>
      <c r="D89" s="730"/>
      <c r="E89" s="730"/>
      <c r="F89" s="730"/>
      <c r="G89" s="730"/>
      <c r="H89" s="730"/>
      <c r="I89" s="731"/>
      <c r="J89" s="737"/>
      <c r="K89" s="738" t="s">
        <v>344</v>
      </c>
      <c r="L89" s="737"/>
      <c r="M89" s="738" t="s">
        <v>345</v>
      </c>
      <c r="N89" s="737"/>
      <c r="O89" s="738" t="s">
        <v>346</v>
      </c>
      <c r="P89" s="737"/>
      <c r="Q89" s="738" t="s">
        <v>347</v>
      </c>
      <c r="R89" s="737"/>
      <c r="S89" s="738" t="s">
        <v>348</v>
      </c>
    </row>
    <row r="90" spans="1:19" s="658" customFormat="1" ht="12" hidden="1" customHeight="1">
      <c r="I90" s="737"/>
      <c r="J90" s="737"/>
      <c r="K90" s="737"/>
      <c r="L90" s="737"/>
      <c r="M90" s="738"/>
      <c r="N90" s="737"/>
      <c r="O90" s="738"/>
      <c r="P90" s="737"/>
      <c r="Q90" s="738"/>
      <c r="R90" s="737"/>
      <c r="S90" s="737">
        <v>1.042</v>
      </c>
    </row>
    <row r="91" spans="1:19" s="658" customFormat="1" ht="12.75" hidden="1" customHeight="1">
      <c r="C91" s="694"/>
      <c r="D91" s="694"/>
      <c r="E91" s="694"/>
      <c r="F91" s="694"/>
      <c r="G91" s="694"/>
      <c r="H91" s="694"/>
      <c r="I91" s="740"/>
      <c r="J91" s="732"/>
      <c r="K91" s="737"/>
      <c r="L91" s="737"/>
      <c r="M91" s="738"/>
      <c r="N91" s="737"/>
      <c r="O91" s="738"/>
      <c r="P91" s="737"/>
      <c r="Q91" s="738"/>
      <c r="R91" s="737"/>
      <c r="S91" s="775" t="s">
        <v>334</v>
      </c>
    </row>
    <row r="92" spans="1:19" s="658" customFormat="1" ht="12.75" hidden="1" customHeight="1">
      <c r="C92" s="696"/>
      <c r="D92" s="696"/>
      <c r="E92" s="696"/>
      <c r="F92" s="696"/>
      <c r="G92" s="696"/>
      <c r="H92" s="696"/>
      <c r="I92" s="740"/>
      <c r="J92" s="732"/>
      <c r="K92" s="737"/>
      <c r="L92" s="737"/>
      <c r="M92" s="738"/>
      <c r="N92" s="737"/>
      <c r="O92" s="738"/>
      <c r="P92" s="737"/>
      <c r="Q92" s="738"/>
      <c r="R92" s="775"/>
      <c r="S92" s="775" t="s">
        <v>343</v>
      </c>
    </row>
    <row r="93" spans="1:19" s="658" customFormat="1" ht="12.75" hidden="1" customHeight="1">
      <c r="C93" s="730"/>
      <c r="D93" s="730"/>
      <c r="E93" s="730"/>
      <c r="F93" s="730"/>
      <c r="G93" s="730"/>
      <c r="H93" s="730"/>
      <c r="I93" s="657" t="s">
        <v>349</v>
      </c>
      <c r="K93" s="783">
        <f>Q93/4</f>
        <v>1091</v>
      </c>
      <c r="M93" s="783">
        <f>O93</f>
        <v>2182</v>
      </c>
      <c r="O93" s="783">
        <f>Q93/2</f>
        <v>2182</v>
      </c>
      <c r="Q93" s="783">
        <v>4364</v>
      </c>
      <c r="R93" s="737"/>
      <c r="S93" s="738"/>
    </row>
    <row r="94" spans="1:19" s="658" customFormat="1" ht="12.75" hidden="1" customHeight="1">
      <c r="C94" s="694"/>
      <c r="D94" s="694"/>
      <c r="E94" s="694"/>
      <c r="F94" s="694"/>
      <c r="G94" s="694"/>
      <c r="H94" s="694"/>
      <c r="I94" s="657" t="s">
        <v>350</v>
      </c>
      <c r="K94" s="662">
        <f>K93*$S$90</f>
        <v>1136.8220000000001</v>
      </c>
      <c r="L94" s="662">
        <f t="shared" ref="L94:Q100" si="0">L93*$S$90</f>
        <v>0</v>
      </c>
      <c r="M94" s="662">
        <f t="shared" si="0"/>
        <v>2273.6440000000002</v>
      </c>
      <c r="N94" s="662">
        <f t="shared" si="0"/>
        <v>0</v>
      </c>
      <c r="O94" s="662">
        <f t="shared" si="0"/>
        <v>2273.6440000000002</v>
      </c>
      <c r="P94" s="662">
        <f t="shared" si="0"/>
        <v>0</v>
      </c>
      <c r="Q94" s="662">
        <f t="shared" si="0"/>
        <v>4547.2880000000005</v>
      </c>
      <c r="R94" s="737"/>
      <c r="S94" s="738"/>
    </row>
    <row r="95" spans="1:19" s="658" customFormat="1" ht="12.75" hidden="1" customHeight="1">
      <c r="C95" s="730"/>
      <c r="D95" s="730"/>
      <c r="E95" s="730"/>
      <c r="F95" s="730"/>
      <c r="G95" s="730"/>
      <c r="H95" s="730"/>
      <c r="I95" s="657" t="s">
        <v>414</v>
      </c>
      <c r="K95" s="662">
        <f t="shared" ref="K95:K100" si="1">K94*$S$90</f>
        <v>1184.5685240000003</v>
      </c>
      <c r="M95" s="662">
        <f t="shared" si="0"/>
        <v>2369.1370480000005</v>
      </c>
      <c r="O95" s="662">
        <f t="shared" si="0"/>
        <v>2369.1370480000005</v>
      </c>
      <c r="Q95" s="662">
        <f t="shared" si="0"/>
        <v>4738.274096000001</v>
      </c>
      <c r="R95" s="737"/>
      <c r="S95" s="738"/>
    </row>
    <row r="96" spans="1:19" s="658" customFormat="1" ht="12.75" hidden="1" customHeight="1">
      <c r="C96" s="730"/>
      <c r="D96" s="730"/>
      <c r="E96" s="730"/>
      <c r="F96" s="730"/>
      <c r="G96" s="730"/>
      <c r="H96" s="730"/>
      <c r="I96" s="657" t="s">
        <v>418</v>
      </c>
      <c r="K96" s="662">
        <f t="shared" si="1"/>
        <v>1234.3204020080002</v>
      </c>
      <c r="M96" s="662">
        <f t="shared" si="0"/>
        <v>2468.6408040160004</v>
      </c>
      <c r="O96" s="662">
        <f t="shared" si="0"/>
        <v>2468.6408040160004</v>
      </c>
      <c r="Q96" s="662">
        <f t="shared" si="0"/>
        <v>4937.2816080320008</v>
      </c>
      <c r="R96" s="737"/>
      <c r="S96" s="738"/>
    </row>
    <row r="97" spans="3:19" s="658" customFormat="1" ht="12.75" hidden="1" customHeight="1">
      <c r="C97" s="730"/>
      <c r="D97" s="730"/>
      <c r="E97" s="730"/>
      <c r="F97" s="730"/>
      <c r="G97" s="730"/>
      <c r="H97" s="730"/>
      <c r="I97" s="657" t="s">
        <v>419</v>
      </c>
      <c r="K97" s="662">
        <f t="shared" si="1"/>
        <v>1286.1618588923363</v>
      </c>
      <c r="M97" s="662">
        <f t="shared" si="0"/>
        <v>2572.3237177846727</v>
      </c>
      <c r="O97" s="662">
        <f t="shared" si="0"/>
        <v>2572.3237177846727</v>
      </c>
      <c r="Q97" s="662">
        <f t="shared" si="0"/>
        <v>5144.6474355693454</v>
      </c>
      <c r="R97" s="737"/>
      <c r="S97" s="738"/>
    </row>
    <row r="98" spans="3:19" s="658" customFormat="1" ht="12.75" hidden="1" customHeight="1">
      <c r="C98" s="730"/>
      <c r="D98" s="730"/>
      <c r="E98" s="730"/>
      <c r="F98" s="730"/>
      <c r="G98" s="730"/>
      <c r="H98" s="730"/>
      <c r="I98" s="657" t="s">
        <v>437</v>
      </c>
      <c r="K98" s="662">
        <f t="shared" si="1"/>
        <v>1340.1806569658145</v>
      </c>
      <c r="M98" s="662">
        <f t="shared" si="0"/>
        <v>2680.361313931629</v>
      </c>
      <c r="O98" s="662">
        <f t="shared" si="0"/>
        <v>2680.361313931629</v>
      </c>
      <c r="Q98" s="662">
        <f t="shared" si="0"/>
        <v>5360.7226278632579</v>
      </c>
      <c r="R98" s="737"/>
      <c r="S98" s="738"/>
    </row>
    <row r="99" spans="3:19" s="658" customFormat="1" ht="12.75" hidden="1" customHeight="1">
      <c r="C99" s="730"/>
      <c r="D99" s="730"/>
      <c r="E99" s="730"/>
      <c r="F99" s="730"/>
      <c r="G99" s="730"/>
      <c r="H99" s="730"/>
      <c r="I99" s="657" t="s">
        <v>445</v>
      </c>
      <c r="K99" s="662">
        <f t="shared" si="1"/>
        <v>1396.4682445583787</v>
      </c>
      <c r="M99" s="662">
        <f t="shared" si="0"/>
        <v>2792.9364891167575</v>
      </c>
      <c r="O99" s="662">
        <f t="shared" si="0"/>
        <v>2792.9364891167575</v>
      </c>
      <c r="Q99" s="662">
        <f t="shared" si="0"/>
        <v>5585.8729782335149</v>
      </c>
      <c r="R99" s="737"/>
      <c r="S99" s="738"/>
    </row>
    <row r="100" spans="3:19" s="658" customFormat="1" ht="12.75" hidden="1" customHeight="1">
      <c r="C100" s="730"/>
      <c r="D100" s="730"/>
      <c r="E100" s="730"/>
      <c r="F100" s="730"/>
      <c r="G100" s="730"/>
      <c r="H100" s="730"/>
      <c r="I100" s="657" t="s">
        <v>448</v>
      </c>
      <c r="K100" s="662">
        <f t="shared" si="1"/>
        <v>1455.1199108298306</v>
      </c>
      <c r="M100" s="662">
        <f t="shared" si="0"/>
        <v>2910.2398216596612</v>
      </c>
      <c r="O100" s="662">
        <f t="shared" si="0"/>
        <v>2910.2398216596612</v>
      </c>
      <c r="Q100" s="662">
        <f t="shared" si="0"/>
        <v>5820.4796433193223</v>
      </c>
      <c r="R100" s="737"/>
      <c r="S100" s="738"/>
    </row>
    <row r="101" spans="3:19" s="658" customFormat="1" ht="12.75" hidden="1" customHeight="1">
      <c r="C101" s="730"/>
      <c r="D101" s="730"/>
      <c r="E101" s="730"/>
      <c r="F101" s="730"/>
      <c r="G101" s="730"/>
      <c r="H101" s="730"/>
      <c r="I101" s="657"/>
      <c r="J101" s="659"/>
      <c r="K101" s="660"/>
      <c r="M101" s="660"/>
      <c r="O101" s="660"/>
      <c r="Q101" s="660"/>
      <c r="R101" s="737"/>
      <c r="S101" s="738"/>
    </row>
    <row r="102" spans="3:19" s="658" customFormat="1" ht="12.75" hidden="1" customHeight="1">
      <c r="C102" s="730"/>
      <c r="D102" s="730"/>
      <c r="E102" s="730"/>
      <c r="F102" s="730"/>
      <c r="G102" s="730"/>
      <c r="H102" s="730"/>
      <c r="I102" s="657" t="s">
        <v>351</v>
      </c>
      <c r="J102" s="659"/>
      <c r="K102" s="785">
        <f>Q102/4</f>
        <v>1059.25</v>
      </c>
      <c r="L102" s="661"/>
      <c r="M102" s="785">
        <f>Q102/2</f>
        <v>2118.5</v>
      </c>
      <c r="N102" s="661"/>
      <c r="O102" s="785">
        <f>Q102/2</f>
        <v>2118.5</v>
      </c>
      <c r="P102" s="661"/>
      <c r="Q102" s="785">
        <v>4237</v>
      </c>
      <c r="R102" s="737"/>
      <c r="S102" s="738"/>
    </row>
    <row r="103" spans="3:19" s="658" customFormat="1" ht="12.75" hidden="1" customHeight="1">
      <c r="C103" s="694"/>
      <c r="D103" s="694"/>
      <c r="E103" s="694"/>
      <c r="F103" s="694"/>
      <c r="G103" s="694"/>
      <c r="H103" s="694"/>
      <c r="I103" s="657" t="s">
        <v>352</v>
      </c>
      <c r="K103" s="662">
        <f>Q103/4</f>
        <v>1091</v>
      </c>
      <c r="M103" s="662">
        <f>O103</f>
        <v>2182</v>
      </c>
      <c r="O103" s="662">
        <f>Q103/2</f>
        <v>2182</v>
      </c>
      <c r="Q103" s="662">
        <v>4364</v>
      </c>
      <c r="R103" s="737"/>
      <c r="S103" s="738"/>
    </row>
    <row r="104" spans="3:19" s="658" customFormat="1" ht="12.75" hidden="1" customHeight="1">
      <c r="C104" s="730"/>
      <c r="D104" s="697"/>
      <c r="E104" s="730"/>
      <c r="F104" s="730"/>
      <c r="G104" s="730"/>
      <c r="H104" s="730"/>
      <c r="I104" s="657" t="s">
        <v>415</v>
      </c>
      <c r="K104" s="662">
        <f t="shared" ref="K104:K109" si="2">K103*$S$90</f>
        <v>1136.8220000000001</v>
      </c>
      <c r="M104" s="662">
        <f t="shared" ref="M104:M109" si="3">M103*$S$90</f>
        <v>2273.6440000000002</v>
      </c>
      <c r="O104" s="662">
        <f t="shared" ref="O104:O109" si="4">O103*$S$90</f>
        <v>2273.6440000000002</v>
      </c>
      <c r="Q104" s="662">
        <f t="shared" ref="Q104:Q109" si="5">Q103*$S$90</f>
        <v>4547.2880000000005</v>
      </c>
      <c r="R104" s="737"/>
      <c r="S104" s="738"/>
    </row>
    <row r="105" spans="3:19" s="658" customFormat="1" ht="12.75" hidden="1" customHeight="1">
      <c r="C105" s="694"/>
      <c r="D105" s="694"/>
      <c r="E105" s="694"/>
      <c r="F105" s="694"/>
      <c r="G105" s="694"/>
      <c r="H105" s="694"/>
      <c r="I105" s="657" t="s">
        <v>420</v>
      </c>
      <c r="K105" s="662">
        <f t="shared" si="2"/>
        <v>1184.5685240000003</v>
      </c>
      <c r="M105" s="662">
        <f t="shared" si="3"/>
        <v>2369.1370480000005</v>
      </c>
      <c r="O105" s="662">
        <f t="shared" si="4"/>
        <v>2369.1370480000005</v>
      </c>
      <c r="Q105" s="662">
        <f t="shared" si="5"/>
        <v>4738.274096000001</v>
      </c>
      <c r="R105" s="737"/>
      <c r="S105" s="738"/>
    </row>
    <row r="106" spans="3:19" s="658" customFormat="1" ht="12.75" hidden="1" customHeight="1">
      <c r="C106" s="694"/>
      <c r="D106" s="694"/>
      <c r="E106" s="694"/>
      <c r="F106" s="694"/>
      <c r="G106" s="694"/>
      <c r="H106" s="694"/>
      <c r="I106" s="657" t="s">
        <v>421</v>
      </c>
      <c r="K106" s="662">
        <f t="shared" si="2"/>
        <v>1234.3204020080002</v>
      </c>
      <c r="L106" s="661"/>
      <c r="M106" s="662">
        <f t="shared" si="3"/>
        <v>2468.6408040160004</v>
      </c>
      <c r="N106" s="661"/>
      <c r="O106" s="662">
        <f t="shared" si="4"/>
        <v>2468.6408040160004</v>
      </c>
      <c r="P106" s="661"/>
      <c r="Q106" s="662">
        <f t="shared" si="5"/>
        <v>4937.2816080320008</v>
      </c>
      <c r="R106" s="737"/>
      <c r="S106" s="738"/>
    </row>
    <row r="107" spans="3:19" s="658" customFormat="1" ht="12.75" hidden="1" customHeight="1">
      <c r="C107" s="694"/>
      <c r="D107" s="694"/>
      <c r="E107" s="694"/>
      <c r="F107" s="694"/>
      <c r="G107" s="694"/>
      <c r="H107" s="694"/>
      <c r="I107" s="657" t="s">
        <v>435</v>
      </c>
      <c r="K107" s="662">
        <f t="shared" si="2"/>
        <v>1286.1618588923363</v>
      </c>
      <c r="L107" s="661"/>
      <c r="M107" s="662">
        <f t="shared" si="3"/>
        <v>2572.3237177846727</v>
      </c>
      <c r="N107" s="661"/>
      <c r="O107" s="662">
        <f t="shared" si="4"/>
        <v>2572.3237177846727</v>
      </c>
      <c r="P107" s="661"/>
      <c r="Q107" s="662">
        <f t="shared" si="5"/>
        <v>5144.6474355693454</v>
      </c>
      <c r="R107" s="737"/>
      <c r="S107" s="738"/>
    </row>
    <row r="108" spans="3:19" s="658" customFormat="1" ht="12.75" hidden="1" customHeight="1">
      <c r="C108" s="694"/>
      <c r="D108" s="694"/>
      <c r="E108" s="694"/>
      <c r="F108" s="694"/>
      <c r="G108" s="694"/>
      <c r="H108" s="694"/>
      <c r="I108" s="657" t="s">
        <v>439</v>
      </c>
      <c r="K108" s="662">
        <f t="shared" si="2"/>
        <v>1340.1806569658145</v>
      </c>
      <c r="L108" s="661"/>
      <c r="M108" s="662">
        <f t="shared" si="3"/>
        <v>2680.361313931629</v>
      </c>
      <c r="N108" s="661"/>
      <c r="O108" s="662">
        <f t="shared" si="4"/>
        <v>2680.361313931629</v>
      </c>
      <c r="P108" s="661"/>
      <c r="Q108" s="662">
        <f t="shared" si="5"/>
        <v>5360.7226278632579</v>
      </c>
      <c r="R108" s="737"/>
      <c r="S108" s="738"/>
    </row>
    <row r="109" spans="3:19" s="658" customFormat="1" ht="12.75" hidden="1" customHeight="1">
      <c r="C109" s="694"/>
      <c r="D109" s="694"/>
      <c r="E109" s="694"/>
      <c r="F109" s="694"/>
      <c r="G109" s="694"/>
      <c r="H109" s="694"/>
      <c r="I109" s="657" t="s">
        <v>446</v>
      </c>
      <c r="K109" s="662">
        <f t="shared" si="2"/>
        <v>1396.4682445583787</v>
      </c>
      <c r="L109" s="661"/>
      <c r="M109" s="662">
        <f t="shared" si="3"/>
        <v>2792.9364891167575</v>
      </c>
      <c r="N109" s="661"/>
      <c r="O109" s="662">
        <f t="shared" si="4"/>
        <v>2792.9364891167575</v>
      </c>
      <c r="P109" s="661"/>
      <c r="Q109" s="662">
        <f t="shared" si="5"/>
        <v>5585.8729782335149</v>
      </c>
      <c r="R109" s="737"/>
      <c r="S109" s="738"/>
    </row>
    <row r="110" spans="3:19" s="658" customFormat="1" ht="12.75" hidden="1" customHeight="1">
      <c r="C110" s="694"/>
      <c r="D110" s="694"/>
      <c r="E110" s="694"/>
      <c r="F110" s="694"/>
      <c r="G110" s="694"/>
      <c r="H110" s="694"/>
      <c r="I110" s="657"/>
      <c r="K110" s="660"/>
      <c r="M110" s="660"/>
      <c r="O110" s="660"/>
      <c r="Q110" s="660"/>
      <c r="R110" s="737"/>
      <c r="S110" s="738"/>
    </row>
    <row r="111" spans="3:19" s="695" customFormat="1" ht="12.75" hidden="1" customHeight="1">
      <c r="C111" s="698"/>
      <c r="D111" s="698"/>
      <c r="E111" s="698"/>
      <c r="F111" s="698"/>
      <c r="G111" s="698"/>
      <c r="H111" s="698"/>
      <c r="I111" s="657" t="s">
        <v>353</v>
      </c>
      <c r="J111" s="658"/>
      <c r="K111" s="784">
        <f>Q111/4</f>
        <v>606.25</v>
      </c>
      <c r="L111" s="658"/>
      <c r="M111" s="784">
        <f>Q111/2</f>
        <v>1212.5</v>
      </c>
      <c r="N111" s="658"/>
      <c r="O111" s="784">
        <f>Q111/2</f>
        <v>1212.5</v>
      </c>
      <c r="P111" s="733"/>
      <c r="Q111" s="784">
        <v>2425</v>
      </c>
      <c r="R111" s="732"/>
      <c r="S111" s="732"/>
    </row>
    <row r="112" spans="3:19" s="695" customFormat="1" ht="12.75" hidden="1" customHeight="1">
      <c r="C112" s="698"/>
      <c r="D112" s="698"/>
      <c r="E112" s="698"/>
      <c r="F112" s="698"/>
      <c r="G112" s="698"/>
      <c r="H112" s="698"/>
      <c r="I112" s="657" t="s">
        <v>354</v>
      </c>
      <c r="J112" s="658"/>
      <c r="K112" s="662">
        <f>K111*$S$90</f>
        <v>631.71249999999998</v>
      </c>
      <c r="L112" s="658"/>
      <c r="M112" s="662">
        <f>M111*$S$90</f>
        <v>1263.425</v>
      </c>
      <c r="N112" s="658"/>
      <c r="O112" s="662">
        <f>O111*$S$90</f>
        <v>1263.425</v>
      </c>
      <c r="P112" s="733"/>
      <c r="Q112" s="662">
        <f>Q111*$S$90</f>
        <v>2526.85</v>
      </c>
      <c r="R112" s="732"/>
      <c r="S112" s="732"/>
    </row>
    <row r="113" spans="3:19" s="695" customFormat="1" ht="12.75" hidden="1" customHeight="1">
      <c r="C113" s="698"/>
      <c r="D113" s="698"/>
      <c r="E113" s="698"/>
      <c r="F113" s="698"/>
      <c r="G113" s="698"/>
      <c r="H113" s="698"/>
      <c r="I113" s="657" t="s">
        <v>416</v>
      </c>
      <c r="J113" s="658"/>
      <c r="K113" s="662">
        <f t="shared" ref="K113:K118" si="6">K112*$S$90</f>
        <v>658.24442499999998</v>
      </c>
      <c r="L113" s="658"/>
      <c r="M113" s="662">
        <f t="shared" ref="M113:M118" si="7">M112*$S$90</f>
        <v>1316.48885</v>
      </c>
      <c r="N113" s="658"/>
      <c r="O113" s="662">
        <f t="shared" ref="O113:O118" si="8">O112*$S$90</f>
        <v>1316.48885</v>
      </c>
      <c r="P113" s="733"/>
      <c r="Q113" s="662">
        <f t="shared" ref="Q113:Q118" si="9">Q112*$S$90</f>
        <v>2632.9776999999999</v>
      </c>
      <c r="R113" s="732"/>
      <c r="S113" s="732"/>
    </row>
    <row r="114" spans="3:19" s="695" customFormat="1" ht="12.75" hidden="1" customHeight="1">
      <c r="C114" s="698"/>
      <c r="D114" s="698"/>
      <c r="E114" s="698"/>
      <c r="F114" s="698"/>
      <c r="G114" s="698"/>
      <c r="H114" s="698"/>
      <c r="I114" s="657" t="s">
        <v>422</v>
      </c>
      <c r="J114" s="658"/>
      <c r="K114" s="662">
        <f t="shared" si="6"/>
        <v>685.89069085000006</v>
      </c>
      <c r="L114" s="658"/>
      <c r="M114" s="662">
        <f t="shared" si="7"/>
        <v>1371.7813817000001</v>
      </c>
      <c r="N114" s="658"/>
      <c r="O114" s="662">
        <f t="shared" si="8"/>
        <v>1371.7813817000001</v>
      </c>
      <c r="P114" s="733"/>
      <c r="Q114" s="662">
        <f t="shared" si="9"/>
        <v>2743.5627634000002</v>
      </c>
      <c r="R114" s="732"/>
      <c r="S114" s="732"/>
    </row>
    <row r="115" spans="3:19" s="695" customFormat="1" ht="12.75" hidden="1" customHeight="1">
      <c r="C115" s="698"/>
      <c r="D115" s="698"/>
      <c r="E115" s="698"/>
      <c r="F115" s="698"/>
      <c r="G115" s="698"/>
      <c r="H115" s="698"/>
      <c r="I115" s="657" t="s">
        <v>423</v>
      </c>
      <c r="J115" s="658"/>
      <c r="K115" s="662">
        <f t="shared" si="6"/>
        <v>714.6980998657001</v>
      </c>
      <c r="L115" s="658"/>
      <c r="M115" s="662">
        <f t="shared" si="7"/>
        <v>1429.3961997314002</v>
      </c>
      <c r="N115" s="658"/>
      <c r="O115" s="662">
        <f t="shared" si="8"/>
        <v>1429.3961997314002</v>
      </c>
      <c r="P115" s="733"/>
      <c r="Q115" s="662">
        <f t="shared" si="9"/>
        <v>2858.7923994628004</v>
      </c>
      <c r="R115" s="732"/>
      <c r="S115" s="732"/>
    </row>
    <row r="116" spans="3:19" s="695" customFormat="1" ht="12.75" hidden="1" customHeight="1">
      <c r="C116" s="698"/>
      <c r="D116" s="698"/>
      <c r="E116" s="698"/>
      <c r="F116" s="698"/>
      <c r="G116" s="698"/>
      <c r="H116" s="698"/>
      <c r="I116" s="657" t="s">
        <v>438</v>
      </c>
      <c r="J116" s="658"/>
      <c r="K116" s="662">
        <f t="shared" si="6"/>
        <v>744.7154200600595</v>
      </c>
      <c r="L116" s="658"/>
      <c r="M116" s="662">
        <f t="shared" si="7"/>
        <v>1489.430840120119</v>
      </c>
      <c r="N116" s="658"/>
      <c r="O116" s="662">
        <f t="shared" si="8"/>
        <v>1489.430840120119</v>
      </c>
      <c r="P116" s="733"/>
      <c r="Q116" s="662">
        <f t="shared" si="9"/>
        <v>2978.861680240238</v>
      </c>
      <c r="R116" s="732"/>
      <c r="S116" s="732"/>
    </row>
    <row r="117" spans="3:19" s="695" customFormat="1" ht="12.75" hidden="1" customHeight="1">
      <c r="C117" s="698"/>
      <c r="D117" s="698"/>
      <c r="E117" s="698"/>
      <c r="F117" s="698"/>
      <c r="G117" s="698"/>
      <c r="H117" s="698"/>
      <c r="I117" s="657" t="s">
        <v>447</v>
      </c>
      <c r="J117" s="658"/>
      <c r="K117" s="662">
        <f t="shared" si="6"/>
        <v>775.99346770258205</v>
      </c>
      <c r="L117" s="658"/>
      <c r="M117" s="662">
        <f t="shared" si="7"/>
        <v>1551.9869354051641</v>
      </c>
      <c r="N117" s="658"/>
      <c r="O117" s="662">
        <f t="shared" si="8"/>
        <v>1551.9869354051641</v>
      </c>
      <c r="P117" s="733"/>
      <c r="Q117" s="662">
        <f t="shared" si="9"/>
        <v>3103.9738708103282</v>
      </c>
      <c r="R117" s="732"/>
      <c r="S117" s="732"/>
    </row>
    <row r="118" spans="3:19" s="695" customFormat="1" ht="12.75" hidden="1" customHeight="1">
      <c r="C118" s="698"/>
      <c r="D118" s="698"/>
      <c r="E118" s="698"/>
      <c r="F118" s="698"/>
      <c r="G118" s="698"/>
      <c r="H118" s="698"/>
      <c r="I118" s="657" t="s">
        <v>449</v>
      </c>
      <c r="J118" s="658"/>
      <c r="K118" s="662">
        <f t="shared" si="6"/>
        <v>808.58519334609048</v>
      </c>
      <c r="L118" s="658"/>
      <c r="M118" s="662">
        <f t="shared" si="7"/>
        <v>1617.170386692181</v>
      </c>
      <c r="N118" s="658"/>
      <c r="O118" s="662">
        <f t="shared" si="8"/>
        <v>1617.170386692181</v>
      </c>
      <c r="P118" s="733"/>
      <c r="Q118" s="662">
        <f t="shared" si="9"/>
        <v>3234.3407733843619</v>
      </c>
      <c r="R118" s="732"/>
      <c r="S118" s="732"/>
    </row>
    <row r="119" spans="3:19" s="695" customFormat="1" ht="12.75" hidden="1" customHeight="1">
      <c r="C119" s="698"/>
      <c r="D119" s="698"/>
      <c r="E119" s="698"/>
      <c r="F119" s="698"/>
      <c r="G119" s="698"/>
      <c r="H119" s="698"/>
      <c r="I119" s="658"/>
      <c r="J119" s="658"/>
      <c r="K119" s="660"/>
      <c r="L119" s="658"/>
      <c r="M119" s="660"/>
      <c r="N119" s="658"/>
      <c r="O119" s="660"/>
      <c r="P119" s="658"/>
      <c r="Q119" s="660"/>
      <c r="R119" s="732"/>
      <c r="S119" s="732"/>
    </row>
    <row r="120" spans="3:19" s="695" customFormat="1" ht="12.75" hidden="1" customHeight="1">
      <c r="C120" s="698"/>
      <c r="D120" s="698"/>
      <c r="E120" s="698"/>
      <c r="F120" s="698"/>
      <c r="G120" s="698"/>
      <c r="H120" s="698"/>
      <c r="I120" s="806" t="s">
        <v>424</v>
      </c>
      <c r="J120" s="806"/>
      <c r="K120" s="806"/>
      <c r="L120" s="806"/>
      <c r="M120" s="806"/>
      <c r="N120" s="806"/>
      <c r="O120" s="806"/>
      <c r="P120" s="806"/>
      <c r="Q120" s="806"/>
      <c r="R120" s="732"/>
      <c r="S120" s="732"/>
    </row>
    <row r="121" spans="3:19" s="695" customFormat="1" ht="12.75" hidden="1" customHeight="1">
      <c r="C121" s="698"/>
      <c r="D121" s="698"/>
      <c r="E121" s="698"/>
      <c r="F121" s="698"/>
      <c r="G121" s="698"/>
      <c r="H121" s="698"/>
      <c r="I121" s="659"/>
      <c r="J121" s="658"/>
      <c r="K121" s="660" t="s">
        <v>344</v>
      </c>
      <c r="L121" s="658"/>
      <c r="M121" s="660" t="s">
        <v>345</v>
      </c>
      <c r="N121" s="658"/>
      <c r="O121" s="660" t="s">
        <v>346</v>
      </c>
      <c r="P121" s="658"/>
      <c r="Q121" s="660" t="s">
        <v>347</v>
      </c>
      <c r="R121" s="732"/>
      <c r="S121" s="732"/>
    </row>
    <row r="122" spans="3:19" s="695" customFormat="1" ht="12.75" hidden="1" customHeight="1">
      <c r="C122" s="698"/>
      <c r="D122" s="698"/>
      <c r="E122" s="698"/>
      <c r="F122" s="698"/>
      <c r="G122" s="698"/>
      <c r="H122" s="698"/>
      <c r="I122" s="657"/>
      <c r="J122" s="658"/>
      <c r="K122" s="659"/>
      <c r="L122" s="659"/>
      <c r="M122" s="660"/>
      <c r="N122" s="658"/>
      <c r="O122" s="660"/>
      <c r="P122" s="658"/>
      <c r="Q122" s="660"/>
      <c r="R122" s="732"/>
      <c r="S122" s="732"/>
    </row>
    <row r="123" spans="3:19" s="695" customFormat="1" ht="12.75" hidden="1" customHeight="1">
      <c r="C123" s="698"/>
      <c r="D123" s="698"/>
      <c r="E123" s="698"/>
      <c r="F123" s="698"/>
      <c r="G123" s="698"/>
      <c r="H123" s="698"/>
      <c r="I123" s="657" t="s">
        <v>349</v>
      </c>
      <c r="J123" s="659"/>
      <c r="K123" s="783">
        <f>Q123/4</f>
        <v>1258</v>
      </c>
      <c r="L123" s="658"/>
      <c r="M123" s="783">
        <f>O123</f>
        <v>2516</v>
      </c>
      <c r="N123" s="658"/>
      <c r="O123" s="783">
        <f>Q123/2</f>
        <v>2516</v>
      </c>
      <c r="P123" s="658"/>
      <c r="Q123" s="783">
        <v>5032</v>
      </c>
      <c r="R123" s="732"/>
      <c r="S123" s="732"/>
    </row>
    <row r="124" spans="3:19" s="695" customFormat="1" ht="12.75" hidden="1" customHeight="1">
      <c r="C124" s="698"/>
      <c r="D124" s="698"/>
      <c r="E124" s="698"/>
      <c r="F124" s="698"/>
      <c r="G124" s="698"/>
      <c r="H124" s="698"/>
      <c r="I124" s="657" t="s">
        <v>350</v>
      </c>
      <c r="J124" s="659"/>
      <c r="K124" s="662">
        <f>K123*$S$90</f>
        <v>1310.836</v>
      </c>
      <c r="L124" s="658"/>
      <c r="M124" s="662">
        <f>M123*$S$90</f>
        <v>2621.672</v>
      </c>
      <c r="N124" s="658"/>
      <c r="O124" s="662">
        <f>O123*$S$90</f>
        <v>2621.672</v>
      </c>
      <c r="P124" s="658"/>
      <c r="Q124" s="662">
        <f>Q123*$S$90</f>
        <v>5243.3440000000001</v>
      </c>
      <c r="R124" s="732"/>
      <c r="S124" s="732"/>
    </row>
    <row r="125" spans="3:19" s="695" customFormat="1" ht="15" hidden="1">
      <c r="I125" s="657" t="s">
        <v>414</v>
      </c>
      <c r="J125" s="659"/>
      <c r="K125" s="662">
        <f t="shared" ref="K125:K130" si="10">K124*$S$90</f>
        <v>1365.891112</v>
      </c>
      <c r="L125" s="658"/>
      <c r="M125" s="662">
        <f t="shared" ref="M125:M130" si="11">M124*$S$90</f>
        <v>2731.782224</v>
      </c>
      <c r="N125" s="658"/>
      <c r="O125" s="662">
        <f t="shared" ref="O125:O130" si="12">O124*$S$90</f>
        <v>2731.782224</v>
      </c>
      <c r="P125" s="658"/>
      <c r="Q125" s="662">
        <f t="shared" ref="Q125:Q130" si="13">Q124*$S$90</f>
        <v>5463.5644480000001</v>
      </c>
      <c r="R125" s="732"/>
      <c r="S125" s="732"/>
    </row>
    <row r="126" spans="3:19" s="695" customFormat="1" ht="15" hidden="1">
      <c r="I126" s="657" t="s">
        <v>418</v>
      </c>
      <c r="J126" s="659"/>
      <c r="K126" s="662">
        <f t="shared" si="10"/>
        <v>1423.2585387040001</v>
      </c>
      <c r="L126" s="658"/>
      <c r="M126" s="662">
        <f t="shared" si="11"/>
        <v>2846.5170774080002</v>
      </c>
      <c r="N126" s="658"/>
      <c r="O126" s="662">
        <f t="shared" si="12"/>
        <v>2846.5170774080002</v>
      </c>
      <c r="P126" s="658"/>
      <c r="Q126" s="662">
        <f t="shared" si="13"/>
        <v>5693.0341548160004</v>
      </c>
      <c r="R126" s="732"/>
      <c r="S126" s="732"/>
    </row>
    <row r="127" spans="3:19" s="695" customFormat="1" ht="15" hidden="1">
      <c r="I127" s="657" t="s">
        <v>419</v>
      </c>
      <c r="J127" s="659"/>
      <c r="K127" s="662">
        <f t="shared" si="10"/>
        <v>1483.0353973295682</v>
      </c>
      <c r="L127" s="658"/>
      <c r="M127" s="662">
        <f t="shared" si="11"/>
        <v>2966.0707946591365</v>
      </c>
      <c r="N127" s="658"/>
      <c r="O127" s="662">
        <f t="shared" si="12"/>
        <v>2966.0707946591365</v>
      </c>
      <c r="P127" s="658"/>
      <c r="Q127" s="662">
        <f t="shared" si="13"/>
        <v>5932.141589318273</v>
      </c>
      <c r="R127" s="732"/>
      <c r="S127" s="732"/>
    </row>
    <row r="128" spans="3:19" s="695" customFormat="1" ht="15" hidden="1">
      <c r="I128" s="657" t="s">
        <v>437</v>
      </c>
      <c r="J128" s="659"/>
      <c r="K128" s="662">
        <f t="shared" si="10"/>
        <v>1545.3228840174102</v>
      </c>
      <c r="L128" s="658"/>
      <c r="M128" s="662">
        <f t="shared" si="11"/>
        <v>3090.6457680348203</v>
      </c>
      <c r="N128" s="658"/>
      <c r="O128" s="662">
        <f t="shared" si="12"/>
        <v>3090.6457680348203</v>
      </c>
      <c r="P128" s="658"/>
      <c r="Q128" s="662">
        <f t="shared" si="13"/>
        <v>6181.2915360696406</v>
      </c>
      <c r="R128" s="732"/>
      <c r="S128" s="732"/>
    </row>
    <row r="129" spans="7:19" s="695" customFormat="1" ht="15" hidden="1">
      <c r="I129" s="657" t="s">
        <v>445</v>
      </c>
      <c r="J129" s="659"/>
      <c r="K129" s="662">
        <f t="shared" si="10"/>
        <v>1610.2264451461415</v>
      </c>
      <c r="L129" s="658"/>
      <c r="M129" s="662">
        <f t="shared" si="11"/>
        <v>3220.452890292283</v>
      </c>
      <c r="N129" s="658"/>
      <c r="O129" s="662">
        <f t="shared" si="12"/>
        <v>3220.452890292283</v>
      </c>
      <c r="P129" s="658"/>
      <c r="Q129" s="662">
        <f t="shared" si="13"/>
        <v>6440.9057805845659</v>
      </c>
      <c r="R129" s="732"/>
      <c r="S129" s="732"/>
    </row>
    <row r="130" spans="7:19" s="695" customFormat="1" ht="15" hidden="1">
      <c r="I130" s="657" t="s">
        <v>448</v>
      </c>
      <c r="J130" s="659"/>
      <c r="K130" s="662">
        <f t="shared" si="10"/>
        <v>1677.8559558422794</v>
      </c>
      <c r="L130" s="658"/>
      <c r="M130" s="662">
        <f t="shared" si="11"/>
        <v>3355.7119116845588</v>
      </c>
      <c r="N130" s="658"/>
      <c r="O130" s="662">
        <f t="shared" si="12"/>
        <v>3355.7119116845588</v>
      </c>
      <c r="P130" s="658"/>
      <c r="Q130" s="662">
        <f t="shared" si="13"/>
        <v>6711.4238233691176</v>
      </c>
      <c r="R130" s="732"/>
      <c r="S130" s="732"/>
    </row>
    <row r="131" spans="7:19" s="695" customFormat="1" ht="15" hidden="1">
      <c r="I131" s="657"/>
      <c r="J131" s="659"/>
      <c r="K131" s="662">
        <v>0</v>
      </c>
      <c r="L131" s="659"/>
      <c r="M131" s="660"/>
      <c r="N131" s="658"/>
      <c r="O131" s="662">
        <v>0</v>
      </c>
      <c r="P131" s="658"/>
      <c r="Q131" s="660"/>
      <c r="R131" s="732"/>
      <c r="S131" s="732"/>
    </row>
    <row r="132" spans="7:19" s="695" customFormat="1" ht="15" hidden="1">
      <c r="I132" s="657" t="s">
        <v>351</v>
      </c>
      <c r="J132" s="659"/>
      <c r="K132" s="785">
        <f>Q132/4</f>
        <v>1221.25</v>
      </c>
      <c r="L132" s="661"/>
      <c r="M132" s="785">
        <f>O132</f>
        <v>2442.5</v>
      </c>
      <c r="N132" s="661"/>
      <c r="O132" s="785">
        <f>Q132/2</f>
        <v>2442.5</v>
      </c>
      <c r="P132" s="661"/>
      <c r="Q132" s="785">
        <v>4885</v>
      </c>
      <c r="R132" s="732"/>
      <c r="S132" s="732"/>
    </row>
    <row r="133" spans="7:19" s="695" customFormat="1" ht="15" hidden="1">
      <c r="I133" s="657" t="s">
        <v>352</v>
      </c>
      <c r="J133" s="659"/>
      <c r="K133" s="662">
        <f>Q133/4</f>
        <v>1258</v>
      </c>
      <c r="L133" s="661"/>
      <c r="M133" s="662">
        <f>O133</f>
        <v>2516</v>
      </c>
      <c r="N133" s="661"/>
      <c r="O133" s="662">
        <f>Q133/2</f>
        <v>2516</v>
      </c>
      <c r="P133" s="661"/>
      <c r="Q133" s="662">
        <v>5032</v>
      </c>
      <c r="R133" s="732"/>
      <c r="S133" s="732"/>
    </row>
    <row r="134" spans="7:19" s="695" customFormat="1" ht="15" hidden="1">
      <c r="I134" s="657" t="s">
        <v>415</v>
      </c>
      <c r="J134" s="659"/>
      <c r="K134" s="662">
        <f t="shared" ref="K134:K139" si="14">K133*$S$90</f>
        <v>1310.836</v>
      </c>
      <c r="L134" s="661"/>
      <c r="M134" s="662">
        <f t="shared" ref="M134:M139" si="15">M133*$S$90</f>
        <v>2621.672</v>
      </c>
      <c r="N134" s="661"/>
      <c r="O134" s="662">
        <f t="shared" ref="O134:O139" si="16">O133*$S$90</f>
        <v>2621.672</v>
      </c>
      <c r="P134" s="661"/>
      <c r="Q134" s="662">
        <f t="shared" ref="Q134:Q139" si="17">Q133*$S$90</f>
        <v>5243.3440000000001</v>
      </c>
      <c r="R134" s="732"/>
      <c r="S134" s="732"/>
    </row>
    <row r="135" spans="7:19" s="695" customFormat="1" ht="15" hidden="1">
      <c r="I135" s="657" t="s">
        <v>420</v>
      </c>
      <c r="J135" s="659"/>
      <c r="K135" s="662">
        <f t="shared" si="14"/>
        <v>1365.891112</v>
      </c>
      <c r="L135" s="661"/>
      <c r="M135" s="662">
        <f t="shared" si="15"/>
        <v>2731.782224</v>
      </c>
      <c r="N135" s="661"/>
      <c r="O135" s="662">
        <f t="shared" si="16"/>
        <v>2731.782224</v>
      </c>
      <c r="P135" s="661"/>
      <c r="Q135" s="662">
        <f t="shared" si="17"/>
        <v>5463.5644480000001</v>
      </c>
      <c r="R135" s="732"/>
      <c r="S135" s="732"/>
    </row>
    <row r="136" spans="7:19" s="695" customFormat="1" ht="15" hidden="1">
      <c r="I136" s="657" t="s">
        <v>421</v>
      </c>
      <c r="J136" s="659"/>
      <c r="K136" s="662">
        <f t="shared" si="14"/>
        <v>1423.2585387040001</v>
      </c>
      <c r="L136" s="661"/>
      <c r="M136" s="662">
        <f t="shared" si="15"/>
        <v>2846.5170774080002</v>
      </c>
      <c r="N136" s="661"/>
      <c r="O136" s="662">
        <f t="shared" si="16"/>
        <v>2846.5170774080002</v>
      </c>
      <c r="P136" s="661"/>
      <c r="Q136" s="662">
        <f t="shared" si="17"/>
        <v>5693.0341548160004</v>
      </c>
      <c r="R136" s="732"/>
      <c r="S136" s="732"/>
    </row>
    <row r="137" spans="7:19" s="695" customFormat="1" ht="15" hidden="1">
      <c r="I137" s="657" t="s">
        <v>435</v>
      </c>
      <c r="J137" s="659"/>
      <c r="K137" s="662">
        <f t="shared" si="14"/>
        <v>1483.0353973295682</v>
      </c>
      <c r="L137" s="661"/>
      <c r="M137" s="662">
        <f t="shared" si="15"/>
        <v>2966.0707946591365</v>
      </c>
      <c r="N137" s="661"/>
      <c r="O137" s="662">
        <f t="shared" si="16"/>
        <v>2966.0707946591365</v>
      </c>
      <c r="P137" s="661"/>
      <c r="Q137" s="662">
        <f t="shared" si="17"/>
        <v>5932.141589318273</v>
      </c>
      <c r="R137" s="732"/>
      <c r="S137" s="732"/>
    </row>
    <row r="138" spans="7:19" s="695" customFormat="1" ht="15" hidden="1">
      <c r="G138" s="657"/>
      <c r="I138" s="657" t="s">
        <v>439</v>
      </c>
      <c r="J138" s="659"/>
      <c r="K138" s="662">
        <f t="shared" si="14"/>
        <v>1545.3228840174102</v>
      </c>
      <c r="L138" s="661"/>
      <c r="M138" s="662">
        <f t="shared" si="15"/>
        <v>3090.6457680348203</v>
      </c>
      <c r="N138" s="661"/>
      <c r="O138" s="662">
        <f t="shared" si="16"/>
        <v>3090.6457680348203</v>
      </c>
      <c r="P138" s="661"/>
      <c r="Q138" s="662">
        <f t="shared" si="17"/>
        <v>6181.2915360696406</v>
      </c>
      <c r="R138" s="732"/>
      <c r="S138" s="732"/>
    </row>
    <row r="139" spans="7:19" s="695" customFormat="1" ht="15" hidden="1">
      <c r="G139" s="657"/>
      <c r="I139" s="657" t="s">
        <v>446</v>
      </c>
      <c r="J139" s="659"/>
      <c r="K139" s="662">
        <f t="shared" si="14"/>
        <v>1610.2264451461415</v>
      </c>
      <c r="L139" s="661"/>
      <c r="M139" s="662">
        <f t="shared" si="15"/>
        <v>3220.452890292283</v>
      </c>
      <c r="N139" s="661"/>
      <c r="O139" s="662">
        <f t="shared" si="16"/>
        <v>3220.452890292283</v>
      </c>
      <c r="P139" s="661"/>
      <c r="Q139" s="662">
        <f t="shared" si="17"/>
        <v>6440.9057805845659</v>
      </c>
      <c r="R139" s="732"/>
      <c r="S139" s="732"/>
    </row>
    <row r="140" spans="7:19" s="695" customFormat="1" ht="15" hidden="1">
      <c r="G140" s="657"/>
      <c r="I140" s="657"/>
      <c r="J140" s="659"/>
      <c r="K140" s="662">
        <v>0</v>
      </c>
      <c r="L140" s="659"/>
      <c r="M140" s="660"/>
      <c r="N140" s="658"/>
      <c r="O140" s="662">
        <v>0</v>
      </c>
      <c r="P140" s="658"/>
      <c r="Q140" s="660"/>
      <c r="R140" s="732"/>
      <c r="S140" s="732"/>
    </row>
    <row r="141" spans="7:19" s="695" customFormat="1" ht="15" hidden="1">
      <c r="G141" s="657"/>
      <c r="I141" s="657" t="s">
        <v>353</v>
      </c>
      <c r="J141" s="659"/>
      <c r="K141" s="784">
        <f>Q141/4</f>
        <v>700</v>
      </c>
      <c r="L141" s="658"/>
      <c r="M141" s="784">
        <f>Q141/2</f>
        <v>1400</v>
      </c>
      <c r="N141" s="658"/>
      <c r="O141" s="784">
        <f>Q141/2</f>
        <v>1400</v>
      </c>
      <c r="P141" s="733"/>
      <c r="Q141" s="784">
        <v>2800</v>
      </c>
      <c r="R141" s="732"/>
      <c r="S141" s="732"/>
    </row>
    <row r="142" spans="7:19" s="695" customFormat="1" ht="15" hidden="1">
      <c r="G142" s="657"/>
      <c r="I142" s="657" t="s">
        <v>354</v>
      </c>
      <c r="J142" s="659"/>
      <c r="K142" s="662">
        <f>K141*$S$90</f>
        <v>729.4</v>
      </c>
      <c r="L142" s="658"/>
      <c r="M142" s="662">
        <f>M141*$S$90</f>
        <v>1458.8</v>
      </c>
      <c r="N142" s="658"/>
      <c r="O142" s="662">
        <f>O141*$S$90</f>
        <v>1458.8</v>
      </c>
      <c r="P142" s="733"/>
      <c r="Q142" s="662">
        <f>Q141*$S$90</f>
        <v>2917.6</v>
      </c>
      <c r="R142" s="732"/>
      <c r="S142" s="732"/>
    </row>
    <row r="143" spans="7:19" s="695" customFormat="1" ht="12.75" hidden="1" customHeight="1">
      <c r="G143" s="657"/>
      <c r="I143" s="657" t="s">
        <v>416</v>
      </c>
      <c r="J143" s="659"/>
      <c r="K143" s="662">
        <f t="shared" ref="K143:K148" si="18">K142*$S$90</f>
        <v>760.03480000000002</v>
      </c>
      <c r="L143" s="658"/>
      <c r="M143" s="662">
        <f t="shared" ref="M143:M148" si="19">M142*$S$90</f>
        <v>1520.0696</v>
      </c>
      <c r="N143" s="658"/>
      <c r="O143" s="662">
        <f t="shared" ref="O143:O148" si="20">O142*$S$90</f>
        <v>1520.0696</v>
      </c>
      <c r="P143" s="733"/>
      <c r="Q143" s="662">
        <f t="shared" ref="Q143:Q148" si="21">Q142*$S$90</f>
        <v>3040.1392000000001</v>
      </c>
      <c r="R143" s="732"/>
      <c r="S143" s="732"/>
    </row>
    <row r="144" spans="7:19" s="695" customFormat="1" ht="12.75" hidden="1" customHeight="1">
      <c r="G144" s="657"/>
      <c r="I144" s="657" t="s">
        <v>422</v>
      </c>
      <c r="J144" s="659"/>
      <c r="K144" s="662">
        <f t="shared" si="18"/>
        <v>791.95626160000006</v>
      </c>
      <c r="L144" s="658"/>
      <c r="M144" s="662">
        <f t="shared" si="19"/>
        <v>1583.9125232000001</v>
      </c>
      <c r="N144" s="658"/>
      <c r="O144" s="662">
        <f t="shared" si="20"/>
        <v>1583.9125232000001</v>
      </c>
      <c r="P144" s="733"/>
      <c r="Q144" s="662">
        <f t="shared" si="21"/>
        <v>3167.8250464000002</v>
      </c>
      <c r="R144" s="732"/>
      <c r="S144" s="732"/>
    </row>
    <row r="145" spans="3:19" s="695" customFormat="1" ht="12.75" hidden="1" customHeight="1">
      <c r="G145" s="657"/>
      <c r="I145" s="657" t="s">
        <v>423</v>
      </c>
      <c r="J145" s="659"/>
      <c r="K145" s="662">
        <f t="shared" si="18"/>
        <v>825.21842458720005</v>
      </c>
      <c r="L145" s="658"/>
      <c r="M145" s="662">
        <f t="shared" si="19"/>
        <v>1650.4368491744001</v>
      </c>
      <c r="N145" s="658"/>
      <c r="O145" s="662">
        <f t="shared" si="20"/>
        <v>1650.4368491744001</v>
      </c>
      <c r="P145" s="733"/>
      <c r="Q145" s="662">
        <f t="shared" si="21"/>
        <v>3300.8736983488002</v>
      </c>
      <c r="R145" s="732"/>
      <c r="S145" s="732"/>
    </row>
    <row r="146" spans="3:19" s="695" customFormat="1" ht="12.75" hidden="1" customHeight="1">
      <c r="I146" s="657" t="s">
        <v>438</v>
      </c>
      <c r="J146" s="659"/>
      <c r="K146" s="662">
        <f t="shared" si="18"/>
        <v>859.87759841986247</v>
      </c>
      <c r="L146" s="658"/>
      <c r="M146" s="662">
        <f t="shared" si="19"/>
        <v>1719.7551968397249</v>
      </c>
      <c r="N146" s="658"/>
      <c r="O146" s="662">
        <f t="shared" si="20"/>
        <v>1719.7551968397249</v>
      </c>
      <c r="P146" s="733"/>
      <c r="Q146" s="662">
        <f t="shared" si="21"/>
        <v>3439.5103936794499</v>
      </c>
      <c r="R146" s="732"/>
      <c r="S146" s="732"/>
    </row>
    <row r="147" spans="3:19" s="695" customFormat="1" ht="12.75" hidden="1" customHeight="1">
      <c r="I147" s="657" t="s">
        <v>447</v>
      </c>
      <c r="J147" s="659"/>
      <c r="K147" s="662">
        <f t="shared" si="18"/>
        <v>895.99245755349671</v>
      </c>
      <c r="L147" s="658"/>
      <c r="M147" s="662">
        <f t="shared" si="19"/>
        <v>1791.9849151069934</v>
      </c>
      <c r="N147" s="658"/>
      <c r="O147" s="662">
        <f t="shared" si="20"/>
        <v>1791.9849151069934</v>
      </c>
      <c r="P147" s="733"/>
      <c r="Q147" s="662">
        <f t="shared" si="21"/>
        <v>3583.9698302139868</v>
      </c>
      <c r="R147" s="732"/>
      <c r="S147" s="732"/>
    </row>
    <row r="148" spans="3:19" s="695" customFormat="1" ht="12.75" hidden="1" customHeight="1">
      <c r="I148" s="657" t="s">
        <v>449</v>
      </c>
      <c r="J148" s="659"/>
      <c r="K148" s="662">
        <f t="shared" si="18"/>
        <v>933.62414077074357</v>
      </c>
      <c r="L148" s="658"/>
      <c r="M148" s="662">
        <f t="shared" si="19"/>
        <v>1867.2482815414871</v>
      </c>
      <c r="N148" s="658"/>
      <c r="O148" s="662">
        <f t="shared" si="20"/>
        <v>1867.2482815414871</v>
      </c>
      <c r="P148" s="733"/>
      <c r="Q148" s="662">
        <f t="shared" si="21"/>
        <v>3734.4965630829743</v>
      </c>
      <c r="R148" s="732"/>
      <c r="S148" s="732"/>
    </row>
    <row r="149" spans="3:19" s="695" customFormat="1" ht="12.75" hidden="1" customHeight="1">
      <c r="C149" s="698"/>
      <c r="D149" s="698"/>
      <c r="E149" s="698"/>
      <c r="F149" s="698"/>
      <c r="G149" s="698"/>
      <c r="H149" s="698"/>
      <c r="I149" s="732"/>
      <c r="J149" s="732"/>
      <c r="K149" s="732"/>
      <c r="L149" s="732"/>
      <c r="M149" s="732"/>
      <c r="N149" s="732"/>
      <c r="O149" s="732"/>
      <c r="P149" s="732"/>
      <c r="Q149" s="732"/>
      <c r="R149" s="732"/>
      <c r="S149" s="732"/>
    </row>
    <row r="150" spans="3:19" s="695" customFormat="1" ht="15" hidden="1">
      <c r="I150" s="806" t="s">
        <v>425</v>
      </c>
      <c r="J150" s="806"/>
      <c r="K150" s="806"/>
      <c r="L150" s="806"/>
      <c r="M150" s="806"/>
      <c r="N150" s="806"/>
      <c r="O150" s="806"/>
      <c r="P150" s="806"/>
      <c r="Q150" s="806"/>
      <c r="R150" s="732"/>
      <c r="S150" s="732"/>
    </row>
    <row r="151" spans="3:19" s="695" customFormat="1" ht="15" hidden="1">
      <c r="I151" s="659"/>
      <c r="J151" s="658"/>
      <c r="K151" s="660" t="s">
        <v>344</v>
      </c>
      <c r="L151" s="658"/>
      <c r="M151" s="660" t="s">
        <v>345</v>
      </c>
      <c r="N151" s="658"/>
      <c r="O151" s="660" t="s">
        <v>346</v>
      </c>
      <c r="P151" s="658"/>
      <c r="Q151" s="660" t="s">
        <v>347</v>
      </c>
      <c r="R151" s="732"/>
      <c r="S151" s="732"/>
    </row>
    <row r="152" spans="3:19" s="695" customFormat="1" ht="15" hidden="1">
      <c r="I152" s="657"/>
      <c r="J152" s="658"/>
      <c r="K152" s="659"/>
      <c r="L152" s="659"/>
      <c r="M152" s="660"/>
      <c r="N152" s="658"/>
      <c r="O152" s="660"/>
      <c r="P152" s="658"/>
      <c r="Q152" s="660"/>
      <c r="R152" s="732"/>
      <c r="S152" s="732"/>
    </row>
    <row r="153" spans="3:19" s="695" customFormat="1" ht="15" hidden="1">
      <c r="I153" s="657" t="s">
        <v>349</v>
      </c>
      <c r="J153" s="659"/>
      <c r="K153" s="786">
        <f>Q153/4</f>
        <v>1324.5</v>
      </c>
      <c r="L153" s="787"/>
      <c r="M153" s="786">
        <f>Q153/2</f>
        <v>2649</v>
      </c>
      <c r="N153" s="787"/>
      <c r="O153" s="786">
        <f>Q153/2</f>
        <v>2649</v>
      </c>
      <c r="P153" s="787"/>
      <c r="Q153" s="786">
        <v>5298</v>
      </c>
      <c r="R153" s="732"/>
      <c r="S153" s="732"/>
    </row>
    <row r="154" spans="3:19" s="695" customFormat="1" ht="15" hidden="1">
      <c r="I154" s="657" t="s">
        <v>350</v>
      </c>
      <c r="J154" s="659"/>
      <c r="K154" s="662">
        <f>K153*$S$90</f>
        <v>1380.1290000000001</v>
      </c>
      <c r="L154" s="658"/>
      <c r="M154" s="662">
        <f>M153*$S$90</f>
        <v>2760.2580000000003</v>
      </c>
      <c r="N154" s="658"/>
      <c r="O154" s="662">
        <f>O153*$S$90</f>
        <v>2760.2580000000003</v>
      </c>
      <c r="P154" s="658"/>
      <c r="Q154" s="662">
        <f>Q153*$S$90</f>
        <v>5520.5160000000005</v>
      </c>
      <c r="R154" s="732"/>
      <c r="S154" s="732"/>
    </row>
    <row r="155" spans="3:19" s="695" customFormat="1" ht="15" hidden="1">
      <c r="I155" s="657" t="s">
        <v>414</v>
      </c>
      <c r="J155" s="659"/>
      <c r="K155" s="662">
        <f t="shared" ref="K155:K160" si="22">K154*$S$90</f>
        <v>1438.0944180000001</v>
      </c>
      <c r="L155" s="658"/>
      <c r="M155" s="662">
        <f t="shared" ref="M155:M160" si="23">M154*$S$90</f>
        <v>2876.1888360000003</v>
      </c>
      <c r="N155" s="658"/>
      <c r="O155" s="662">
        <f t="shared" ref="O155:O160" si="24">O154*$S$90</f>
        <v>2876.1888360000003</v>
      </c>
      <c r="P155" s="658"/>
      <c r="Q155" s="662">
        <f t="shared" ref="Q155:Q160" si="25">Q154*$S$90</f>
        <v>5752.3776720000005</v>
      </c>
      <c r="R155" s="732"/>
      <c r="S155" s="732"/>
    </row>
    <row r="156" spans="3:19" s="695" customFormat="1" ht="15" hidden="1">
      <c r="I156" s="657" t="s">
        <v>418</v>
      </c>
      <c r="J156" s="659"/>
      <c r="K156" s="662">
        <f t="shared" si="22"/>
        <v>1498.4943835560002</v>
      </c>
      <c r="L156" s="658"/>
      <c r="M156" s="662">
        <f t="shared" si="23"/>
        <v>2996.9887671120005</v>
      </c>
      <c r="N156" s="658"/>
      <c r="O156" s="662">
        <f t="shared" si="24"/>
        <v>2996.9887671120005</v>
      </c>
      <c r="P156" s="658"/>
      <c r="Q156" s="662">
        <f t="shared" si="25"/>
        <v>5993.9775342240009</v>
      </c>
      <c r="R156" s="732"/>
      <c r="S156" s="732"/>
    </row>
    <row r="157" spans="3:19" s="695" customFormat="1" ht="15" hidden="1">
      <c r="I157" s="657" t="s">
        <v>419</v>
      </c>
      <c r="J157" s="659"/>
      <c r="K157" s="662">
        <f t="shared" si="22"/>
        <v>1561.4311476653522</v>
      </c>
      <c r="L157" s="658"/>
      <c r="M157" s="662">
        <f t="shared" si="23"/>
        <v>3122.8622953307045</v>
      </c>
      <c r="N157" s="658"/>
      <c r="O157" s="662">
        <f t="shared" si="24"/>
        <v>3122.8622953307045</v>
      </c>
      <c r="P157" s="658"/>
      <c r="Q157" s="662">
        <f t="shared" si="25"/>
        <v>6245.7245906614089</v>
      </c>
      <c r="R157" s="732"/>
      <c r="S157" s="732"/>
    </row>
    <row r="158" spans="3:19" s="695" customFormat="1" ht="15" hidden="1">
      <c r="I158" s="657" t="s">
        <v>437</v>
      </c>
      <c r="J158" s="659"/>
      <c r="K158" s="662">
        <f t="shared" si="22"/>
        <v>1627.011255867297</v>
      </c>
      <c r="L158" s="658"/>
      <c r="M158" s="662">
        <f t="shared" si="23"/>
        <v>3254.022511734594</v>
      </c>
      <c r="N158" s="658"/>
      <c r="O158" s="662">
        <f t="shared" si="24"/>
        <v>3254.022511734594</v>
      </c>
      <c r="P158" s="658"/>
      <c r="Q158" s="662">
        <f t="shared" si="25"/>
        <v>6508.045023469188</v>
      </c>
      <c r="R158" s="732"/>
      <c r="S158" s="732"/>
    </row>
    <row r="159" spans="3:19" s="695" customFormat="1" ht="15" hidden="1">
      <c r="I159" s="657" t="s">
        <v>445</v>
      </c>
      <c r="J159" s="659"/>
      <c r="K159" s="662">
        <f t="shared" si="22"/>
        <v>1695.3457286137236</v>
      </c>
      <c r="L159" s="658"/>
      <c r="M159" s="662">
        <f t="shared" si="23"/>
        <v>3390.6914572274472</v>
      </c>
      <c r="N159" s="658"/>
      <c r="O159" s="662">
        <f t="shared" si="24"/>
        <v>3390.6914572274472</v>
      </c>
      <c r="P159" s="658"/>
      <c r="Q159" s="662">
        <f t="shared" si="25"/>
        <v>6781.3829144548945</v>
      </c>
      <c r="R159" s="732"/>
      <c r="S159" s="732"/>
    </row>
    <row r="160" spans="3:19" s="695" customFormat="1" ht="15" hidden="1">
      <c r="I160" s="657" t="s">
        <v>448</v>
      </c>
      <c r="J160" s="659"/>
      <c r="K160" s="662">
        <f t="shared" si="22"/>
        <v>1766.5502492155001</v>
      </c>
      <c r="L160" s="658"/>
      <c r="M160" s="662">
        <f t="shared" si="23"/>
        <v>3533.1004984310002</v>
      </c>
      <c r="N160" s="658"/>
      <c r="O160" s="662">
        <f t="shared" si="24"/>
        <v>3533.1004984310002</v>
      </c>
      <c r="P160" s="658"/>
      <c r="Q160" s="662">
        <f t="shared" si="25"/>
        <v>7066.2009968620005</v>
      </c>
      <c r="R160" s="732"/>
      <c r="S160" s="732"/>
    </row>
    <row r="161" spans="9:19" s="695" customFormat="1" ht="15" hidden="1">
      <c r="I161" s="657"/>
      <c r="J161" s="659"/>
      <c r="K161" s="662">
        <v>0</v>
      </c>
      <c r="L161" s="659"/>
      <c r="M161" s="660"/>
      <c r="N161" s="658"/>
      <c r="O161" s="662">
        <v>0</v>
      </c>
      <c r="P161" s="658"/>
      <c r="Q161" s="660"/>
      <c r="R161" s="732"/>
      <c r="S161" s="732"/>
    </row>
    <row r="162" spans="9:19" s="695" customFormat="1" ht="15" hidden="1">
      <c r="I162" s="657" t="s">
        <v>351</v>
      </c>
      <c r="J162" s="659"/>
      <c r="K162" s="785">
        <f>Q162/4</f>
        <v>1286</v>
      </c>
      <c r="L162" s="661"/>
      <c r="M162" s="785">
        <f>Q162/2</f>
        <v>2572</v>
      </c>
      <c r="N162" s="661"/>
      <c r="O162" s="785">
        <f>Q162/2</f>
        <v>2572</v>
      </c>
      <c r="P162" s="661"/>
      <c r="Q162" s="785">
        <v>5144</v>
      </c>
      <c r="R162" s="739"/>
      <c r="S162" s="739"/>
    </row>
    <row r="163" spans="9:19" s="695" customFormat="1" ht="15" hidden="1">
      <c r="I163" s="657" t="s">
        <v>352</v>
      </c>
      <c r="J163" s="659"/>
      <c r="K163" s="662">
        <f>Q163/4</f>
        <v>1324.5</v>
      </c>
      <c r="L163" s="661"/>
      <c r="M163" s="662">
        <f>O163</f>
        <v>2649</v>
      </c>
      <c r="N163" s="661"/>
      <c r="O163" s="662">
        <f>Q163/2</f>
        <v>2649</v>
      </c>
      <c r="P163" s="661"/>
      <c r="Q163" s="662">
        <v>5298</v>
      </c>
      <c r="R163" s="732"/>
      <c r="S163" s="732"/>
    </row>
    <row r="164" spans="9:19" s="695" customFormat="1" ht="15" hidden="1">
      <c r="I164" s="657" t="s">
        <v>415</v>
      </c>
      <c r="J164" s="659"/>
      <c r="K164" s="662">
        <f t="shared" ref="K164:K169" si="26">K163*$S$90</f>
        <v>1380.1290000000001</v>
      </c>
      <c r="L164" s="661"/>
      <c r="M164" s="662">
        <f t="shared" ref="M164:M169" si="27">M163*$S$90</f>
        <v>2760.2580000000003</v>
      </c>
      <c r="N164" s="661"/>
      <c r="O164" s="662">
        <f t="shared" ref="O164:O169" si="28">O163*$S$90</f>
        <v>2760.2580000000003</v>
      </c>
      <c r="P164" s="661"/>
      <c r="Q164" s="662">
        <f t="shared" ref="Q164:Q169" si="29">Q163*$S$90</f>
        <v>5520.5160000000005</v>
      </c>
      <c r="R164" s="732"/>
      <c r="S164" s="732"/>
    </row>
    <row r="165" spans="9:19" s="695" customFormat="1" ht="15" hidden="1">
      <c r="I165" s="657" t="s">
        <v>420</v>
      </c>
      <c r="J165" s="659"/>
      <c r="K165" s="662">
        <f t="shared" si="26"/>
        <v>1438.0944180000001</v>
      </c>
      <c r="L165" s="661"/>
      <c r="M165" s="662">
        <f t="shared" si="27"/>
        <v>2876.1888360000003</v>
      </c>
      <c r="N165" s="661"/>
      <c r="O165" s="662">
        <f t="shared" si="28"/>
        <v>2876.1888360000003</v>
      </c>
      <c r="P165" s="661"/>
      <c r="Q165" s="662">
        <f t="shared" si="29"/>
        <v>5752.3776720000005</v>
      </c>
      <c r="R165" s="732"/>
      <c r="S165" s="732"/>
    </row>
    <row r="166" spans="9:19" s="695" customFormat="1" ht="15" hidden="1">
      <c r="I166" s="657" t="s">
        <v>421</v>
      </c>
      <c r="J166" s="659"/>
      <c r="K166" s="662">
        <f t="shared" si="26"/>
        <v>1498.4943835560002</v>
      </c>
      <c r="L166" s="661"/>
      <c r="M166" s="662">
        <f t="shared" si="27"/>
        <v>2996.9887671120005</v>
      </c>
      <c r="N166" s="661"/>
      <c r="O166" s="662">
        <f t="shared" si="28"/>
        <v>2996.9887671120005</v>
      </c>
      <c r="P166" s="661"/>
      <c r="Q166" s="662">
        <f t="shared" si="29"/>
        <v>5993.9775342240009</v>
      </c>
      <c r="R166" s="732"/>
      <c r="S166" s="732"/>
    </row>
    <row r="167" spans="9:19" s="695" customFormat="1" ht="15" hidden="1">
      <c r="I167" s="657" t="s">
        <v>435</v>
      </c>
      <c r="J167" s="659"/>
      <c r="K167" s="662">
        <f t="shared" si="26"/>
        <v>1561.4311476653522</v>
      </c>
      <c r="L167" s="661"/>
      <c r="M167" s="662">
        <f t="shared" si="27"/>
        <v>3122.8622953307045</v>
      </c>
      <c r="N167" s="661"/>
      <c r="O167" s="662">
        <f t="shared" si="28"/>
        <v>3122.8622953307045</v>
      </c>
      <c r="P167" s="661"/>
      <c r="Q167" s="662">
        <f t="shared" si="29"/>
        <v>6245.7245906614089</v>
      </c>
      <c r="R167" s="732"/>
      <c r="S167" s="732"/>
    </row>
    <row r="168" spans="9:19" s="695" customFormat="1" ht="15" hidden="1">
      <c r="I168" s="657" t="s">
        <v>439</v>
      </c>
      <c r="J168" s="659"/>
      <c r="K168" s="662">
        <f t="shared" si="26"/>
        <v>1627.011255867297</v>
      </c>
      <c r="L168" s="661"/>
      <c r="M168" s="662">
        <f t="shared" si="27"/>
        <v>3254.022511734594</v>
      </c>
      <c r="N168" s="661"/>
      <c r="O168" s="662">
        <f t="shared" si="28"/>
        <v>3254.022511734594</v>
      </c>
      <c r="P168" s="661"/>
      <c r="Q168" s="662">
        <f t="shared" si="29"/>
        <v>6508.045023469188</v>
      </c>
      <c r="R168" s="732"/>
      <c r="S168" s="732"/>
    </row>
    <row r="169" spans="9:19" s="695" customFormat="1" ht="15" hidden="1">
      <c r="I169" s="657" t="s">
        <v>446</v>
      </c>
      <c r="J169" s="659"/>
      <c r="K169" s="662">
        <f t="shared" si="26"/>
        <v>1695.3457286137236</v>
      </c>
      <c r="L169" s="661"/>
      <c r="M169" s="662">
        <f t="shared" si="27"/>
        <v>3390.6914572274472</v>
      </c>
      <c r="N169" s="661"/>
      <c r="O169" s="662">
        <f t="shared" si="28"/>
        <v>3390.6914572274472</v>
      </c>
      <c r="P169" s="661"/>
      <c r="Q169" s="662">
        <f t="shared" si="29"/>
        <v>6781.3829144548945</v>
      </c>
      <c r="R169" s="732"/>
      <c r="S169" s="732"/>
    </row>
    <row r="170" spans="9:19" s="695" customFormat="1" ht="15" hidden="1">
      <c r="I170" s="657"/>
      <c r="J170" s="659"/>
      <c r="K170" s="662">
        <v>0</v>
      </c>
      <c r="L170" s="659"/>
      <c r="M170" s="660"/>
      <c r="N170" s="658"/>
      <c r="O170" s="662">
        <v>0</v>
      </c>
      <c r="P170" s="658"/>
      <c r="Q170" s="660"/>
      <c r="R170" s="732"/>
      <c r="S170" s="732"/>
    </row>
    <row r="171" spans="9:19" s="695" customFormat="1" ht="15" hidden="1">
      <c r="I171" s="657" t="s">
        <v>353</v>
      </c>
      <c r="J171" s="659"/>
      <c r="K171" s="784">
        <f>Q171/4</f>
        <v>736.25</v>
      </c>
      <c r="L171" s="658"/>
      <c r="M171" s="784">
        <f>Q171/2</f>
        <v>1472.5</v>
      </c>
      <c r="N171" s="658"/>
      <c r="O171" s="784">
        <f>Q171/2</f>
        <v>1472.5</v>
      </c>
      <c r="P171" s="733"/>
      <c r="Q171" s="784">
        <v>2945</v>
      </c>
      <c r="R171" s="739"/>
      <c r="S171" s="739"/>
    </row>
    <row r="172" spans="9:19" s="695" customFormat="1" ht="15" hidden="1">
      <c r="I172" s="657" t="s">
        <v>354</v>
      </c>
      <c r="J172" s="659"/>
      <c r="K172" s="662">
        <f>K171*$S$90</f>
        <v>767.17250000000001</v>
      </c>
      <c r="L172" s="658"/>
      <c r="M172" s="662">
        <f>M171*$S$90</f>
        <v>1534.345</v>
      </c>
      <c r="N172" s="658"/>
      <c r="O172" s="662">
        <f>O171*$S$90</f>
        <v>1534.345</v>
      </c>
      <c r="P172" s="733"/>
      <c r="Q172" s="662">
        <f>Q171*$S$90</f>
        <v>3068.69</v>
      </c>
      <c r="R172" s="739"/>
      <c r="S172" s="739"/>
    </row>
    <row r="173" spans="9:19" s="695" customFormat="1" ht="15" hidden="1">
      <c r="I173" s="657" t="s">
        <v>416</v>
      </c>
      <c r="J173" s="659"/>
      <c r="K173" s="662">
        <f t="shared" ref="K173:K178" si="30">K172*$S$90</f>
        <v>799.39374500000008</v>
      </c>
      <c r="L173" s="658"/>
      <c r="M173" s="662">
        <f t="shared" ref="M173:M178" si="31">M172*$S$90</f>
        <v>1598.7874900000002</v>
      </c>
      <c r="N173" s="658"/>
      <c r="O173" s="662">
        <f t="shared" ref="O173:O178" si="32">O172*$S$90</f>
        <v>1598.7874900000002</v>
      </c>
      <c r="P173" s="733"/>
      <c r="Q173" s="662">
        <f t="shared" ref="Q173:Q178" si="33">Q172*$S$90</f>
        <v>3197.5749800000003</v>
      </c>
      <c r="R173" s="732"/>
      <c r="S173" s="732"/>
    </row>
    <row r="174" spans="9:19" s="695" customFormat="1" ht="15" hidden="1">
      <c r="I174" s="657" t="s">
        <v>422</v>
      </c>
      <c r="J174" s="659"/>
      <c r="K174" s="662">
        <f t="shared" si="30"/>
        <v>832.96828229000016</v>
      </c>
      <c r="L174" s="658"/>
      <c r="M174" s="662">
        <f t="shared" si="31"/>
        <v>1665.9365645800003</v>
      </c>
      <c r="N174" s="658"/>
      <c r="O174" s="662">
        <f t="shared" si="32"/>
        <v>1665.9365645800003</v>
      </c>
      <c r="P174" s="733"/>
      <c r="Q174" s="662">
        <f t="shared" si="33"/>
        <v>3331.8731291600006</v>
      </c>
      <c r="R174" s="732"/>
      <c r="S174" s="732"/>
    </row>
    <row r="175" spans="9:19" s="695" customFormat="1" ht="15" hidden="1">
      <c r="I175" s="657" t="s">
        <v>423</v>
      </c>
      <c r="J175" s="659"/>
      <c r="K175" s="662">
        <f t="shared" si="30"/>
        <v>867.95295014618023</v>
      </c>
      <c r="L175" s="658"/>
      <c r="M175" s="662">
        <f t="shared" si="31"/>
        <v>1735.9059002923605</v>
      </c>
      <c r="N175" s="658"/>
      <c r="O175" s="662">
        <f t="shared" si="32"/>
        <v>1735.9059002923605</v>
      </c>
      <c r="P175" s="733"/>
      <c r="Q175" s="662">
        <f t="shared" si="33"/>
        <v>3471.8118005847209</v>
      </c>
      <c r="R175" s="732"/>
      <c r="S175" s="732"/>
    </row>
    <row r="176" spans="9:19" s="695" customFormat="1" ht="15" hidden="1">
      <c r="I176" s="657" t="s">
        <v>438</v>
      </c>
      <c r="J176" s="659"/>
      <c r="K176" s="662">
        <f t="shared" si="30"/>
        <v>904.40697405231981</v>
      </c>
      <c r="L176" s="658"/>
      <c r="M176" s="662">
        <f t="shared" si="31"/>
        <v>1808.8139481046396</v>
      </c>
      <c r="N176" s="658"/>
      <c r="O176" s="662">
        <f t="shared" si="32"/>
        <v>1808.8139481046396</v>
      </c>
      <c r="P176" s="733"/>
      <c r="Q176" s="662">
        <f t="shared" si="33"/>
        <v>3617.6278962092792</v>
      </c>
      <c r="R176" s="732"/>
      <c r="S176" s="732"/>
    </row>
    <row r="177" spans="9:19" s="695" customFormat="1" ht="15" hidden="1">
      <c r="I177" s="657" t="s">
        <v>447</v>
      </c>
      <c r="J177" s="659"/>
      <c r="K177" s="662">
        <f t="shared" si="30"/>
        <v>942.39206696251733</v>
      </c>
      <c r="L177" s="658"/>
      <c r="M177" s="662">
        <f t="shared" si="31"/>
        <v>1884.7841339250347</v>
      </c>
      <c r="N177" s="658"/>
      <c r="O177" s="662">
        <f t="shared" si="32"/>
        <v>1884.7841339250347</v>
      </c>
      <c r="P177" s="733"/>
      <c r="Q177" s="662">
        <f t="shared" si="33"/>
        <v>3769.5682678500693</v>
      </c>
      <c r="R177" s="732"/>
      <c r="S177" s="732"/>
    </row>
    <row r="178" spans="9:19" s="695" customFormat="1" ht="15" hidden="1">
      <c r="I178" s="657" t="s">
        <v>449</v>
      </c>
      <c r="J178" s="734"/>
      <c r="K178" s="662">
        <f t="shared" si="30"/>
        <v>981.97253377494314</v>
      </c>
      <c r="L178" s="776"/>
      <c r="M178" s="662">
        <f t="shared" si="31"/>
        <v>1963.9450675498863</v>
      </c>
      <c r="N178" s="776"/>
      <c r="O178" s="662">
        <f t="shared" si="32"/>
        <v>1963.9450675498863</v>
      </c>
      <c r="P178" s="735"/>
      <c r="Q178" s="662">
        <f t="shared" si="33"/>
        <v>3927.8901350997726</v>
      </c>
      <c r="R178" s="777"/>
      <c r="S178" s="777"/>
    </row>
    <row r="179" spans="9:19" s="695" customFormat="1" hidden="1"/>
    <row r="180" spans="9:19" s="695" customFormat="1" ht="18" hidden="1" customHeight="1">
      <c r="I180" s="806" t="s">
        <v>453</v>
      </c>
      <c r="J180" s="806"/>
      <c r="K180" s="806"/>
      <c r="L180" s="806"/>
      <c r="M180" s="806"/>
      <c r="N180" s="806"/>
      <c r="O180" s="806"/>
      <c r="P180" s="806"/>
      <c r="Q180" s="806"/>
    </row>
    <row r="181" spans="9:19" s="695" customFormat="1" ht="15" hidden="1">
      <c r="I181" s="659"/>
      <c r="J181" s="658"/>
      <c r="K181" s="660" t="s">
        <v>344</v>
      </c>
      <c r="L181" s="658"/>
      <c r="M181" s="660" t="s">
        <v>345</v>
      </c>
      <c r="N181" s="658"/>
      <c r="O181" s="660" t="s">
        <v>346</v>
      </c>
      <c r="P181" s="658"/>
      <c r="Q181" s="660" t="s">
        <v>347</v>
      </c>
    </row>
    <row r="182" spans="9:19" s="695" customFormat="1" ht="15" hidden="1">
      <c r="I182" s="657"/>
      <c r="J182" s="658"/>
      <c r="K182" s="659"/>
      <c r="L182" s="659"/>
      <c r="M182" s="660"/>
      <c r="N182" s="658"/>
      <c r="O182" s="660"/>
      <c r="P182" s="658"/>
      <c r="Q182" s="660"/>
    </row>
    <row r="183" spans="9:19" s="695" customFormat="1" ht="15" hidden="1">
      <c r="I183" s="657" t="s">
        <v>349</v>
      </c>
      <c r="J183" s="659"/>
      <c r="K183" s="786">
        <f>Q183/4</f>
        <v>1137.75</v>
      </c>
      <c r="L183" s="787"/>
      <c r="M183" s="786">
        <f>Q183/2</f>
        <v>2275.5</v>
      </c>
      <c r="N183" s="787"/>
      <c r="O183" s="786">
        <f>Q183/2</f>
        <v>2275.5</v>
      </c>
      <c r="P183" s="787"/>
      <c r="Q183" s="786">
        <v>4551</v>
      </c>
    </row>
    <row r="184" spans="9:19" s="695" customFormat="1" ht="15" hidden="1">
      <c r="I184" s="657" t="s">
        <v>350</v>
      </c>
      <c r="J184" s="659"/>
      <c r="K184" s="662">
        <f>K183*$S$90</f>
        <v>1185.5355</v>
      </c>
      <c r="L184" s="658"/>
      <c r="M184" s="662">
        <f>M183*$S$90</f>
        <v>2371.0709999999999</v>
      </c>
      <c r="N184" s="658"/>
      <c r="O184" s="662">
        <f>O183*$S$90</f>
        <v>2371.0709999999999</v>
      </c>
      <c r="P184" s="658"/>
      <c r="Q184" s="662">
        <f>Q183*$S$90</f>
        <v>4742.1419999999998</v>
      </c>
    </row>
    <row r="185" spans="9:19" s="695" customFormat="1" ht="15" hidden="1">
      <c r="I185" s="657" t="s">
        <v>414</v>
      </c>
      <c r="J185" s="659"/>
      <c r="K185" s="662">
        <f t="shared" ref="K185:K190" si="34">K184*$S$90</f>
        <v>1235.3279910000001</v>
      </c>
      <c r="L185" s="658"/>
      <c r="M185" s="662">
        <f t="shared" ref="M185:M190" si="35">M184*$S$90</f>
        <v>2470.6559820000002</v>
      </c>
      <c r="N185" s="658"/>
      <c r="O185" s="662">
        <f t="shared" ref="O185:O190" si="36">O184*$S$90</f>
        <v>2470.6559820000002</v>
      </c>
      <c r="P185" s="658"/>
      <c r="Q185" s="662">
        <f t="shared" ref="Q185:Q190" si="37">Q184*$S$90</f>
        <v>4941.3119640000004</v>
      </c>
    </row>
    <row r="186" spans="9:19" s="695" customFormat="1" ht="15" hidden="1">
      <c r="I186" s="657" t="s">
        <v>418</v>
      </c>
      <c r="J186" s="659"/>
      <c r="K186" s="662">
        <f t="shared" si="34"/>
        <v>1287.2117666220001</v>
      </c>
      <c r="L186" s="658"/>
      <c r="M186" s="662">
        <f t="shared" si="35"/>
        <v>2574.4235332440003</v>
      </c>
      <c r="N186" s="658"/>
      <c r="O186" s="662">
        <f t="shared" si="36"/>
        <v>2574.4235332440003</v>
      </c>
      <c r="P186" s="658"/>
      <c r="Q186" s="662">
        <f t="shared" si="37"/>
        <v>5148.8470664880006</v>
      </c>
    </row>
    <row r="187" spans="9:19" s="695" customFormat="1" ht="15" hidden="1">
      <c r="I187" s="657" t="s">
        <v>419</v>
      </c>
      <c r="J187" s="659"/>
      <c r="K187" s="662">
        <f t="shared" si="34"/>
        <v>1341.2746608201242</v>
      </c>
      <c r="L187" s="658"/>
      <c r="M187" s="662">
        <f t="shared" si="35"/>
        <v>2682.5493216402483</v>
      </c>
      <c r="N187" s="658"/>
      <c r="O187" s="662">
        <f t="shared" si="36"/>
        <v>2682.5493216402483</v>
      </c>
      <c r="P187" s="658"/>
      <c r="Q187" s="662">
        <f t="shared" si="37"/>
        <v>5365.0986432804966</v>
      </c>
    </row>
    <row r="188" spans="9:19" s="695" customFormat="1" ht="15" hidden="1">
      <c r="I188" s="657" t="s">
        <v>437</v>
      </c>
      <c r="J188" s="659"/>
      <c r="K188" s="662">
        <f t="shared" si="34"/>
        <v>1397.6081965745693</v>
      </c>
      <c r="L188" s="658"/>
      <c r="M188" s="662">
        <f t="shared" si="35"/>
        <v>2795.2163931491386</v>
      </c>
      <c r="N188" s="658"/>
      <c r="O188" s="662">
        <f t="shared" si="36"/>
        <v>2795.2163931491386</v>
      </c>
      <c r="P188" s="658"/>
      <c r="Q188" s="662">
        <f t="shared" si="37"/>
        <v>5590.4327862982773</v>
      </c>
    </row>
    <row r="189" spans="9:19" s="695" customFormat="1" ht="15" hidden="1">
      <c r="I189" s="657" t="s">
        <v>445</v>
      </c>
      <c r="J189" s="659"/>
      <c r="K189" s="662">
        <f t="shared" si="34"/>
        <v>1456.3077408307013</v>
      </c>
      <c r="L189" s="658"/>
      <c r="M189" s="662">
        <f t="shared" si="35"/>
        <v>2912.6154816614026</v>
      </c>
      <c r="N189" s="658"/>
      <c r="O189" s="662">
        <f t="shared" si="36"/>
        <v>2912.6154816614026</v>
      </c>
      <c r="P189" s="658"/>
      <c r="Q189" s="662">
        <f t="shared" si="37"/>
        <v>5825.2309633228051</v>
      </c>
    </row>
    <row r="190" spans="9:19" s="695" customFormat="1" ht="15" hidden="1">
      <c r="I190" s="657" t="s">
        <v>448</v>
      </c>
      <c r="J190" s="659"/>
      <c r="K190" s="662">
        <f t="shared" si="34"/>
        <v>1517.4726659455907</v>
      </c>
      <c r="L190" s="658"/>
      <c r="M190" s="662">
        <f t="shared" si="35"/>
        <v>3034.9453318911815</v>
      </c>
      <c r="N190" s="658"/>
      <c r="O190" s="662">
        <f t="shared" si="36"/>
        <v>3034.9453318911815</v>
      </c>
      <c r="P190" s="658"/>
      <c r="Q190" s="662">
        <f t="shared" si="37"/>
        <v>6069.8906637823629</v>
      </c>
    </row>
    <row r="191" spans="9:19" s="695" customFormat="1" ht="15" hidden="1">
      <c r="I191" s="657"/>
      <c r="J191" s="659"/>
      <c r="K191" s="662">
        <v>0</v>
      </c>
      <c r="L191" s="659"/>
      <c r="M191" s="660"/>
      <c r="N191" s="658"/>
      <c r="O191" s="662">
        <v>0</v>
      </c>
      <c r="P191" s="658"/>
      <c r="Q191" s="660"/>
    </row>
    <row r="192" spans="9:19" s="695" customFormat="1" ht="15" hidden="1">
      <c r="I192" s="657" t="s">
        <v>351</v>
      </c>
      <c r="J192" s="659"/>
      <c r="K192" s="785">
        <f>Q192/4</f>
        <v>1059.25</v>
      </c>
      <c r="L192" s="661"/>
      <c r="M192" s="785">
        <f>Q192/2</f>
        <v>2118.5</v>
      </c>
      <c r="N192" s="661"/>
      <c r="O192" s="785">
        <f>Q192/2</f>
        <v>2118.5</v>
      </c>
      <c r="P192" s="661"/>
      <c r="Q192" s="785">
        <v>4237</v>
      </c>
    </row>
    <row r="193" spans="9:17" s="695" customFormat="1" ht="15" hidden="1">
      <c r="I193" s="657" t="s">
        <v>352</v>
      </c>
      <c r="J193" s="659"/>
      <c r="K193" s="662">
        <f>Q193/4</f>
        <v>1137.75</v>
      </c>
      <c r="L193" s="661"/>
      <c r="M193" s="662">
        <f>O193</f>
        <v>2275.5</v>
      </c>
      <c r="N193" s="661"/>
      <c r="O193" s="662">
        <f>Q193/2</f>
        <v>2275.5</v>
      </c>
      <c r="P193" s="661"/>
      <c r="Q193" s="662">
        <v>4551</v>
      </c>
    </row>
    <row r="194" spans="9:17" s="695" customFormat="1" ht="15" hidden="1">
      <c r="I194" s="657" t="s">
        <v>415</v>
      </c>
      <c r="J194" s="659"/>
      <c r="K194" s="662">
        <f t="shared" ref="K194:K199" si="38">K193*$S$90</f>
        <v>1185.5355</v>
      </c>
      <c r="L194" s="661"/>
      <c r="M194" s="662">
        <f t="shared" ref="M194:M199" si="39">M193*$S$90</f>
        <v>2371.0709999999999</v>
      </c>
      <c r="N194" s="661"/>
      <c r="O194" s="662">
        <f t="shared" ref="O194:O199" si="40">O193*$S$90</f>
        <v>2371.0709999999999</v>
      </c>
      <c r="P194" s="661"/>
      <c r="Q194" s="662">
        <f t="shared" ref="Q194:Q199" si="41">Q193*$S$90</f>
        <v>4742.1419999999998</v>
      </c>
    </row>
    <row r="195" spans="9:17" s="695" customFormat="1" ht="15" hidden="1">
      <c r="I195" s="657" t="s">
        <v>420</v>
      </c>
      <c r="J195" s="659"/>
      <c r="K195" s="662">
        <f t="shared" si="38"/>
        <v>1235.3279910000001</v>
      </c>
      <c r="L195" s="661"/>
      <c r="M195" s="662">
        <f t="shared" si="39"/>
        <v>2470.6559820000002</v>
      </c>
      <c r="N195" s="661"/>
      <c r="O195" s="662">
        <f t="shared" si="40"/>
        <v>2470.6559820000002</v>
      </c>
      <c r="P195" s="661"/>
      <c r="Q195" s="662">
        <f t="shared" si="41"/>
        <v>4941.3119640000004</v>
      </c>
    </row>
    <row r="196" spans="9:17" s="695" customFormat="1" ht="15" hidden="1">
      <c r="I196" s="657" t="s">
        <v>421</v>
      </c>
      <c r="J196" s="659"/>
      <c r="K196" s="662">
        <f t="shared" si="38"/>
        <v>1287.2117666220001</v>
      </c>
      <c r="L196" s="661"/>
      <c r="M196" s="662">
        <f t="shared" si="39"/>
        <v>2574.4235332440003</v>
      </c>
      <c r="N196" s="661"/>
      <c r="O196" s="662">
        <f t="shared" si="40"/>
        <v>2574.4235332440003</v>
      </c>
      <c r="P196" s="661"/>
      <c r="Q196" s="662">
        <f t="shared" si="41"/>
        <v>5148.8470664880006</v>
      </c>
    </row>
    <row r="197" spans="9:17" s="695" customFormat="1" ht="15" hidden="1">
      <c r="I197" s="657" t="s">
        <v>435</v>
      </c>
      <c r="J197" s="659"/>
      <c r="K197" s="662">
        <f t="shared" si="38"/>
        <v>1341.2746608201242</v>
      </c>
      <c r="L197" s="661"/>
      <c r="M197" s="662">
        <f t="shared" si="39"/>
        <v>2682.5493216402483</v>
      </c>
      <c r="N197" s="661"/>
      <c r="O197" s="662">
        <f t="shared" si="40"/>
        <v>2682.5493216402483</v>
      </c>
      <c r="P197" s="661"/>
      <c r="Q197" s="662">
        <f t="shared" si="41"/>
        <v>5365.0986432804966</v>
      </c>
    </row>
    <row r="198" spans="9:17" s="695" customFormat="1" ht="15" hidden="1">
      <c r="I198" s="657" t="s">
        <v>439</v>
      </c>
      <c r="J198" s="659"/>
      <c r="K198" s="662">
        <f t="shared" si="38"/>
        <v>1397.6081965745693</v>
      </c>
      <c r="L198" s="661"/>
      <c r="M198" s="662">
        <f t="shared" si="39"/>
        <v>2795.2163931491386</v>
      </c>
      <c r="N198" s="661"/>
      <c r="O198" s="662">
        <f t="shared" si="40"/>
        <v>2795.2163931491386</v>
      </c>
      <c r="P198" s="661"/>
      <c r="Q198" s="662">
        <f t="shared" si="41"/>
        <v>5590.4327862982773</v>
      </c>
    </row>
    <row r="199" spans="9:17" s="695" customFormat="1" ht="15" hidden="1">
      <c r="I199" s="657" t="s">
        <v>446</v>
      </c>
      <c r="J199" s="659"/>
      <c r="K199" s="662">
        <f t="shared" si="38"/>
        <v>1456.3077408307013</v>
      </c>
      <c r="L199" s="661"/>
      <c r="M199" s="662">
        <f t="shared" si="39"/>
        <v>2912.6154816614026</v>
      </c>
      <c r="N199" s="661"/>
      <c r="O199" s="662">
        <f t="shared" si="40"/>
        <v>2912.6154816614026</v>
      </c>
      <c r="P199" s="661"/>
      <c r="Q199" s="662">
        <f t="shared" si="41"/>
        <v>5825.2309633228051</v>
      </c>
    </row>
    <row r="200" spans="9:17" s="695" customFormat="1" ht="15" hidden="1">
      <c r="I200" s="657"/>
      <c r="J200" s="659"/>
      <c r="K200" s="662">
        <v>0</v>
      </c>
      <c r="L200" s="659"/>
      <c r="M200" s="660"/>
      <c r="N200" s="658"/>
      <c r="O200" s="662">
        <v>0</v>
      </c>
      <c r="P200" s="658"/>
      <c r="Q200" s="660"/>
    </row>
    <row r="201" spans="9:17" s="695" customFormat="1" ht="15" hidden="1">
      <c r="I201" s="657" t="s">
        <v>353</v>
      </c>
      <c r="J201" s="659"/>
      <c r="K201" s="784">
        <f>Q201/4</f>
        <v>632.5</v>
      </c>
      <c r="L201" s="658"/>
      <c r="M201" s="784">
        <f>Q201/2</f>
        <v>1265</v>
      </c>
      <c r="N201" s="658"/>
      <c r="O201" s="784">
        <f>Q201/2</f>
        <v>1265</v>
      </c>
      <c r="P201" s="733"/>
      <c r="Q201" s="784">
        <v>2530</v>
      </c>
    </row>
    <row r="202" spans="9:17" s="695" customFormat="1" ht="15" hidden="1">
      <c r="I202" s="657" t="s">
        <v>354</v>
      </c>
      <c r="J202" s="659"/>
      <c r="K202" s="662">
        <f>K201*$S$90</f>
        <v>659.06500000000005</v>
      </c>
      <c r="L202" s="658"/>
      <c r="M202" s="662">
        <f>M201*$S$90</f>
        <v>1318.13</v>
      </c>
      <c r="N202" s="658"/>
      <c r="O202" s="662">
        <f>O201*$S$90</f>
        <v>1318.13</v>
      </c>
      <c r="P202" s="733"/>
      <c r="Q202" s="662">
        <f>Q201*$S$90</f>
        <v>2636.26</v>
      </c>
    </row>
    <row r="203" spans="9:17" s="695" customFormat="1" ht="15" hidden="1">
      <c r="I203" s="657" t="s">
        <v>416</v>
      </c>
      <c r="J203" s="659"/>
      <c r="K203" s="662">
        <f t="shared" ref="K203:K208" si="42">K202*$S$90</f>
        <v>686.74573000000009</v>
      </c>
      <c r="L203" s="658"/>
      <c r="M203" s="662">
        <f t="shared" ref="M203:M208" si="43">M202*$S$90</f>
        <v>1373.4914600000002</v>
      </c>
      <c r="N203" s="658"/>
      <c r="O203" s="662">
        <f t="shared" ref="O203:O208" si="44">O202*$S$90</f>
        <v>1373.4914600000002</v>
      </c>
      <c r="P203" s="733"/>
      <c r="Q203" s="662">
        <f t="shared" ref="Q203:Q208" si="45">Q202*$S$90</f>
        <v>2746.9829200000004</v>
      </c>
    </row>
    <row r="204" spans="9:17" s="695" customFormat="1" ht="15" hidden="1">
      <c r="I204" s="657" t="s">
        <v>422</v>
      </c>
      <c r="J204" s="659"/>
      <c r="K204" s="662">
        <f t="shared" si="42"/>
        <v>715.58905066000011</v>
      </c>
      <c r="L204" s="658"/>
      <c r="M204" s="662">
        <f t="shared" si="43"/>
        <v>1431.1781013200002</v>
      </c>
      <c r="N204" s="658"/>
      <c r="O204" s="662">
        <f t="shared" si="44"/>
        <v>1431.1781013200002</v>
      </c>
      <c r="P204" s="733"/>
      <c r="Q204" s="662">
        <f t="shared" si="45"/>
        <v>2862.3562026400004</v>
      </c>
    </row>
    <row r="205" spans="9:17" s="695" customFormat="1" ht="15" hidden="1">
      <c r="I205" s="657" t="s">
        <v>423</v>
      </c>
      <c r="J205" s="659"/>
      <c r="K205" s="662">
        <f t="shared" si="42"/>
        <v>745.64379078772015</v>
      </c>
      <c r="L205" s="658"/>
      <c r="M205" s="662">
        <f t="shared" si="43"/>
        <v>1491.2875815754403</v>
      </c>
      <c r="N205" s="658"/>
      <c r="O205" s="662">
        <f t="shared" si="44"/>
        <v>1491.2875815754403</v>
      </c>
      <c r="P205" s="733"/>
      <c r="Q205" s="662">
        <f t="shared" si="45"/>
        <v>2982.5751631508806</v>
      </c>
    </row>
    <row r="206" spans="9:17" ht="15" hidden="1">
      <c r="I206" s="657" t="s">
        <v>438</v>
      </c>
      <c r="J206" s="659"/>
      <c r="K206" s="662">
        <f t="shared" si="42"/>
        <v>776.96083000080444</v>
      </c>
      <c r="L206" s="658"/>
      <c r="M206" s="662">
        <f t="shared" si="43"/>
        <v>1553.9216600016089</v>
      </c>
      <c r="N206" s="658"/>
      <c r="O206" s="662">
        <f t="shared" si="44"/>
        <v>1553.9216600016089</v>
      </c>
      <c r="P206" s="733"/>
      <c r="Q206" s="662">
        <f t="shared" si="45"/>
        <v>3107.8433200032177</v>
      </c>
    </row>
    <row r="207" spans="9:17" ht="15" hidden="1">
      <c r="I207" s="657" t="s">
        <v>447</v>
      </c>
      <c r="J207" s="659"/>
      <c r="K207" s="662">
        <f t="shared" si="42"/>
        <v>809.59318486083828</v>
      </c>
      <c r="L207" s="658"/>
      <c r="M207" s="662">
        <f t="shared" si="43"/>
        <v>1619.1863697216766</v>
      </c>
      <c r="N207" s="658"/>
      <c r="O207" s="662">
        <f t="shared" si="44"/>
        <v>1619.1863697216766</v>
      </c>
      <c r="P207" s="733"/>
      <c r="Q207" s="662">
        <f t="shared" si="45"/>
        <v>3238.3727394433531</v>
      </c>
    </row>
    <row r="208" spans="9:17" ht="15" hidden="1">
      <c r="I208" s="657" t="s">
        <v>449</v>
      </c>
      <c r="J208" s="734"/>
      <c r="K208" s="662">
        <f t="shared" si="42"/>
        <v>843.59609862499349</v>
      </c>
      <c r="L208" s="776"/>
      <c r="M208" s="662">
        <f t="shared" si="43"/>
        <v>1687.192197249987</v>
      </c>
      <c r="N208" s="776"/>
      <c r="O208" s="662">
        <f t="shared" si="44"/>
        <v>1687.192197249987</v>
      </c>
      <c r="P208" s="735"/>
      <c r="Q208" s="662">
        <f t="shared" si="45"/>
        <v>3374.384394499974</v>
      </c>
    </row>
  </sheetData>
  <sheetProtection selectLockedCells="1"/>
  <mergeCells count="51">
    <mergeCell ref="A80:A84"/>
    <mergeCell ref="C80:D80"/>
    <mergeCell ref="C82:D82"/>
    <mergeCell ref="C84:D84"/>
    <mergeCell ref="A85:I86"/>
    <mergeCell ref="C67:F67"/>
    <mergeCell ref="C68:F68"/>
    <mergeCell ref="C69:F69"/>
    <mergeCell ref="C72:H72"/>
    <mergeCell ref="A74:A78"/>
    <mergeCell ref="C74:D74"/>
    <mergeCell ref="C76:D76"/>
    <mergeCell ref="C78:D78"/>
    <mergeCell ref="C3:I3"/>
    <mergeCell ref="C87:I87"/>
    <mergeCell ref="A59:A63"/>
    <mergeCell ref="C59:D59"/>
    <mergeCell ref="C61:D61"/>
    <mergeCell ref="C63:D63"/>
    <mergeCell ref="C46:F46"/>
    <mergeCell ref="A53:A57"/>
    <mergeCell ref="C53:D53"/>
    <mergeCell ref="C55:D55"/>
    <mergeCell ref="C57:D57"/>
    <mergeCell ref="C47:F47"/>
    <mergeCell ref="C48:F48"/>
    <mergeCell ref="C51:H51"/>
    <mergeCell ref="C6:F6"/>
    <mergeCell ref="C7:F7"/>
    <mergeCell ref="C8:F8"/>
    <mergeCell ref="A13:A17"/>
    <mergeCell ref="C13:D13"/>
    <mergeCell ref="C15:D15"/>
    <mergeCell ref="C17:D17"/>
    <mergeCell ref="C11:H11"/>
    <mergeCell ref="C23:D23"/>
    <mergeCell ref="A39:A43"/>
    <mergeCell ref="C39:D39"/>
    <mergeCell ref="C41:D41"/>
    <mergeCell ref="C43:D43"/>
    <mergeCell ref="A33:A37"/>
    <mergeCell ref="C33:D33"/>
    <mergeCell ref="C35:D35"/>
    <mergeCell ref="C37:D37"/>
    <mergeCell ref="C26:F26"/>
    <mergeCell ref="C27:F27"/>
    <mergeCell ref="C28:F28"/>
    <mergeCell ref="A19:A23"/>
    <mergeCell ref="C19:D19"/>
    <mergeCell ref="C21:D21"/>
    <mergeCell ref="C31:H31"/>
  </mergeCells>
  <dataValidations count="19">
    <dataValidation type="list" allowBlank="1" showInputMessage="1" showErrorMessage="1" sqref="S43 K57 M57 O57 Q57 S57 K63 M63 O63 Q63 S63 K37 M37 O37 Q37 S37 K43 M43 O43 Q43">
      <formula1>$I$132:$I$139</formula1>
    </dataValidation>
    <dataValidation type="list" allowBlank="1" showInputMessage="1" showErrorMessage="1" sqref="S39 K53 M53 O53 Q53 S53 K59 M59 O59 Q59 S59 K33 M33 O33 Q33 S33 K39 M39 O39 Q39 M74 O74 Q74 S74">
      <formula1>$I$141:$I$148</formula1>
    </dataValidation>
    <dataValidation type="list" allowBlank="1" showInputMessage="1" showErrorMessage="1" sqref="K13 M13 O13 Q13 S13">
      <formula1>$I$111:$I$118</formula1>
    </dataValidation>
    <dataValidation type="list" allowBlank="1" showInputMessage="1" showErrorMessage="1" sqref="K30 S50 M50 Q50 O50 K50 S30 Q10:Q11 M10:M11 M30 Q30 O30 K10:K11 S10:S11 O10:O11">
      <formula1>$I$102:$I$107</formula1>
    </dataValidation>
    <dataValidation type="list" allowBlank="1" showInputMessage="1" showErrorMessage="1" sqref="K35 K61 K55 K41">
      <formula1>$I$123:$I$131</formula1>
    </dataValidation>
    <dataValidation type="list" allowBlank="1" showInputMessage="1" showErrorMessage="1" sqref="I6 I46 I26">
      <formula1>$S$91:$S$92</formula1>
    </dataValidation>
    <dataValidation type="list" allowBlank="1" showInputMessage="1" showErrorMessage="1" sqref="S19 Q19 O19 M19 K19">
      <formula1>$I$110:$I$118</formula1>
    </dataValidation>
    <dataValidation type="list" allowBlank="1" showInputMessage="1" showErrorMessage="1" sqref="K15 M15 O15 Q15 S15 K21 M21 O21 Q21 S21">
      <formula1>$I$93:$I$100</formula1>
    </dataValidation>
    <dataValidation type="list" allowBlank="1" showInputMessage="1" showErrorMessage="1" sqref="K17 S23 Q23 O23 M23 K23 S17 Q17 O17 M17">
      <formula1>$I$102:$I$109</formula1>
    </dataValidation>
    <dataValidation type="list" allowBlank="1" showInputMessage="1" showErrorMessage="1" sqref="M35 M61 Q61 O55 O61 Q55 S55 S61 M55 M41 Q41 O35 O41 Q35 S35 S41 M76 O76 Q76 S76">
      <formula1>$I$123:$I$130</formula1>
    </dataValidation>
    <dataValidation type="list" allowBlank="1" showInputMessage="1" showErrorMessage="1" sqref="K74 K80 M80 O80 Q80">
      <formula1>$I$201:$I$208</formula1>
    </dataValidation>
    <dataValidation type="list" allowBlank="1" showInputMessage="1" showErrorMessage="1" sqref="S82">
      <formula1>$I$183:$I$190</formula1>
    </dataValidation>
    <dataValidation type="list" allowBlank="1" showInputMessage="1" showErrorMessage="1" sqref="S71 M71 Q71 O71 K71">
      <formula1>$I$100:$I$105</formula1>
    </dataValidation>
    <dataValidation type="list" allowBlank="1" showInputMessage="1" showErrorMessage="1" sqref="S80">
      <formula1>$I$201:$I$208</formula1>
    </dataValidation>
    <dataValidation type="list" allowBlank="1" showInputMessage="1" showErrorMessage="1" sqref="K82 M82 O82 Q82">
      <formula1>$I$183:$I$190</formula1>
    </dataValidation>
    <dataValidation type="list" allowBlank="1" showInputMessage="1" showErrorMessage="1" sqref="S84">
      <formula1>$I$192:$I$199</formula1>
    </dataValidation>
    <dataValidation type="list" allowBlank="1" showInputMessage="1" showErrorMessage="1" sqref="I67">
      <formula1>$S$91:$S$92</formula1>
    </dataValidation>
    <dataValidation type="list" allowBlank="1" showInputMessage="1" showErrorMessage="1" sqref="K78 M78 O78 Q78 S78 K84 M84 O84 Q84">
      <formula1>$I$192:$I$199</formula1>
    </dataValidation>
    <dataValidation type="list" allowBlank="1" showInputMessage="1" showErrorMessage="1" sqref="K76">
      <formula1>$I$183:$I$190</formula1>
    </dataValidation>
  </dataValidations>
  <pageMargins left="0.25" right="0.25" top="1" bottom="1" header="0.5" footer="0.5"/>
  <pageSetup scale="77"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opLeftCell="A39" workbookViewId="0">
      <selection activeCell="K32" sqref="K32"/>
    </sheetView>
  </sheetViews>
  <sheetFormatPr defaultColWidth="16.33203125" defaultRowHeight="13.2"/>
  <cols>
    <col min="1" max="1" width="25.88671875" style="699" bestFit="1" customWidth="1"/>
    <col min="2" max="2" width="11" style="699" customWidth="1"/>
    <col min="3" max="3" width="11.44140625" style="699" hidden="1" customWidth="1"/>
    <col min="4" max="4" width="24.109375" style="699" customWidth="1"/>
    <col min="5" max="5" width="16.33203125" style="699" bestFit="1" customWidth="1"/>
    <col min="6" max="6" width="11.88671875" style="699" bestFit="1" customWidth="1"/>
    <col min="7" max="7" width="13.88671875" style="699" hidden="1" customWidth="1"/>
    <col min="8" max="8" width="9" style="699" bestFit="1" customWidth="1"/>
    <col min="9" max="9" width="15.109375" style="699" bestFit="1" customWidth="1"/>
    <col min="10" max="10" width="14" style="699" bestFit="1" customWidth="1"/>
    <col min="11" max="11" width="26.88671875" style="699" bestFit="1" customWidth="1"/>
    <col min="12" max="12" width="13.109375" style="699" bestFit="1" customWidth="1"/>
    <col min="13" max="13" width="11.44140625" style="699" bestFit="1" customWidth="1"/>
    <col min="14" max="16384" width="16.33203125" style="699"/>
  </cols>
  <sheetData>
    <row r="1" spans="1:13">
      <c r="D1" s="807" t="s">
        <v>474</v>
      </c>
    </row>
    <row r="3" spans="1:13">
      <c r="A3" s="807" t="s">
        <v>475</v>
      </c>
      <c r="B3" s="808" t="s">
        <v>476</v>
      </c>
    </row>
    <row r="4" spans="1:13">
      <c r="A4" s="807"/>
      <c r="B4" s="808" t="s">
        <v>477</v>
      </c>
    </row>
    <row r="5" spans="1:13">
      <c r="A5" s="807"/>
      <c r="B5" s="808"/>
    </row>
    <row r="6" spans="1:13" hidden="1">
      <c r="A6" s="807"/>
      <c r="B6" s="808" t="s">
        <v>478</v>
      </c>
    </row>
    <row r="7" spans="1:13" hidden="1">
      <c r="A7" s="807"/>
      <c r="B7" s="808" t="s">
        <v>479</v>
      </c>
    </row>
    <row r="8" spans="1:13" hidden="1">
      <c r="A8" s="807"/>
      <c r="B8" s="808"/>
    </row>
    <row r="9" spans="1:13">
      <c r="A9" s="807"/>
      <c r="B9" s="808" t="s">
        <v>480</v>
      </c>
    </row>
    <row r="10" spans="1:13" ht="13.8" thickBot="1">
      <c r="A10" s="807"/>
      <c r="B10" s="808"/>
    </row>
    <row r="11" spans="1:13">
      <c r="A11" s="807"/>
      <c r="B11" s="809"/>
      <c r="C11" s="810"/>
      <c r="D11" s="811" t="s">
        <v>481</v>
      </c>
      <c r="E11" s="810"/>
      <c r="F11" s="810"/>
      <c r="G11" s="810"/>
      <c r="H11" s="810"/>
      <c r="I11" s="811" t="s">
        <v>33</v>
      </c>
    </row>
    <row r="12" spans="1:13" ht="13.8" thickBot="1">
      <c r="A12" s="812" t="s">
        <v>482</v>
      </c>
      <c r="B12" s="813"/>
      <c r="C12" s="814"/>
      <c r="D12" s="815">
        <f>D22+D32+D42+D52+D62+D72+D82</f>
        <v>0</v>
      </c>
      <c r="E12" s="814"/>
      <c r="F12" s="814"/>
      <c r="G12" s="814"/>
      <c r="H12" s="814"/>
      <c r="I12" s="815">
        <f>I22+I32+I42+I52+I62+I72+I82</f>
        <v>0</v>
      </c>
    </row>
    <row r="15" spans="1:13" ht="27" thickBot="1">
      <c r="A15" s="816" t="s">
        <v>483</v>
      </c>
      <c r="B15" s="817" t="s">
        <v>484</v>
      </c>
      <c r="C15" s="818" t="s">
        <v>485</v>
      </c>
      <c r="D15" s="819" t="s">
        <v>486</v>
      </c>
      <c r="E15" s="818" t="s">
        <v>485</v>
      </c>
      <c r="F15" s="820"/>
      <c r="G15" s="818" t="s">
        <v>485</v>
      </c>
      <c r="H15" s="808"/>
      <c r="I15" s="818" t="s">
        <v>485</v>
      </c>
      <c r="J15" s="818" t="s">
        <v>485</v>
      </c>
      <c r="K15" s="821" t="s">
        <v>487</v>
      </c>
      <c r="L15" s="822"/>
    </row>
    <row r="16" spans="1:13" ht="13.8" thickBot="1">
      <c r="A16" s="808"/>
      <c r="B16" s="817" t="s">
        <v>488</v>
      </c>
      <c r="C16" s="823" t="s">
        <v>489</v>
      </c>
      <c r="D16" s="824" t="s">
        <v>490</v>
      </c>
      <c r="E16" s="825" t="s">
        <v>491</v>
      </c>
      <c r="F16" s="823" t="s">
        <v>492</v>
      </c>
      <c r="G16" s="823" t="s">
        <v>493</v>
      </c>
      <c r="H16" s="826" t="s">
        <v>494</v>
      </c>
      <c r="I16" s="826" t="s">
        <v>495</v>
      </c>
      <c r="J16" s="827" t="s">
        <v>496</v>
      </c>
      <c r="K16" s="828" t="s">
        <v>497</v>
      </c>
      <c r="L16" s="829" t="s">
        <v>498</v>
      </c>
      <c r="M16" s="828" t="s">
        <v>499</v>
      </c>
    </row>
    <row r="17" spans="1:13" ht="13.8" thickBot="1">
      <c r="A17" s="830" t="s">
        <v>500</v>
      </c>
      <c r="B17" s="831">
        <f>'Base Budget'!C23</f>
        <v>42917</v>
      </c>
      <c r="C17" s="832">
        <f>ROUND(IF((B17=0),0,(B18-B17))/30,0)</f>
        <v>12</v>
      </c>
      <c r="D17" s="833">
        <f>'Base Budget'!L206</f>
        <v>0</v>
      </c>
      <c r="E17" s="834">
        <f>IF(ISERROR(D17/F22),0,(D17/F22))</f>
        <v>0</v>
      </c>
      <c r="F17" s="835">
        <f>IF(OR($B$18&lt;$K17,$B$17&gt;$L17),0,(MIN($B$18,$L17)-MAX($B$17,$K17)+1))</f>
        <v>0</v>
      </c>
      <c r="G17" s="835">
        <f>ROUND(IF(ISERROR(F17/365),0,(F17/365)*12),2)</f>
        <v>0</v>
      </c>
      <c r="H17" s="836">
        <f>IF(OR($B$18&lt;$K17,$B$17&gt;$L17),0,M17)</f>
        <v>0</v>
      </c>
      <c r="I17" s="837">
        <f>(F17*$E$17)*H17</f>
        <v>0</v>
      </c>
      <c r="J17" s="838">
        <f>IF(ISERROR(I17/H17),0,(I17/H17))</f>
        <v>0</v>
      </c>
      <c r="K17" s="839">
        <v>42552</v>
      </c>
      <c r="L17" s="840">
        <v>42916</v>
      </c>
      <c r="M17" s="841">
        <v>0.52</v>
      </c>
    </row>
    <row r="18" spans="1:13" ht="13.8" thickBot="1">
      <c r="A18" s="842" t="s">
        <v>501</v>
      </c>
      <c r="B18" s="831">
        <f>IF(term&gt;=1,'F&amp;A Calculation - Sponsor Funds'!B17+364,0)</f>
        <v>43281</v>
      </c>
      <c r="C18" s="843"/>
      <c r="D18" s="844"/>
      <c r="E18" s="845"/>
      <c r="F18" s="835">
        <f>IF(OR($B$18&lt;$K18,$B$17&gt;$L18),0,(MIN($B$18,$L18)-MAX($B$17,$K18)+1))</f>
        <v>365</v>
      </c>
      <c r="G18" s="835">
        <f>ROUND(IF(ISERROR(F18/365),0,(F18/365)*12),2)</f>
        <v>12</v>
      </c>
      <c r="H18" s="836">
        <f>IF(OR($B$18&lt;$K18,$B$17&gt;$L18),0,M18)</f>
        <v>0.52</v>
      </c>
      <c r="I18" s="837">
        <f>(F18*$E$17)*H18</f>
        <v>0</v>
      </c>
      <c r="J18" s="838">
        <f>IF(ISERROR(I18/H18),0,(I18/H18))</f>
        <v>0</v>
      </c>
      <c r="K18" s="839">
        <v>42917</v>
      </c>
      <c r="L18" s="840">
        <v>43281</v>
      </c>
      <c r="M18" s="841">
        <v>0.52</v>
      </c>
    </row>
    <row r="19" spans="1:13">
      <c r="C19" s="846"/>
      <c r="D19" s="844"/>
      <c r="E19" s="845"/>
      <c r="F19" s="835">
        <f>IF(OR($B$18&lt;$K19,$B$17&gt;$L19),0,(MIN($B$18,$L19)-MAX($B$17,$K19)+1))</f>
        <v>0</v>
      </c>
      <c r="G19" s="835">
        <f>ROUND(IF(ISERROR(F19/365),0,(F19/365)*12),2)</f>
        <v>0</v>
      </c>
      <c r="H19" s="836">
        <f>IF(OR($B$18&lt;$K19,$B$17&gt;$L19),0,M19)</f>
        <v>0</v>
      </c>
      <c r="I19" s="837">
        <f>(F19*$E$17)*H19</f>
        <v>0</v>
      </c>
      <c r="J19" s="838">
        <f>IF(ISERROR(I19/H19),0,(I19/H19))</f>
        <v>0</v>
      </c>
      <c r="K19" s="839">
        <v>43282</v>
      </c>
      <c r="L19" s="840">
        <v>43646</v>
      </c>
      <c r="M19" s="841">
        <v>0.53</v>
      </c>
    </row>
    <row r="20" spans="1:13">
      <c r="A20" s="808"/>
      <c r="C20" s="847"/>
      <c r="D20" s="844"/>
      <c r="E20" s="845"/>
      <c r="F20" s="835">
        <f>IF(OR($B$18&lt;$K20,$B$17&gt;$L20),0,(MIN($B$18,$L20)-MAX($B$17,$K20)+1))</f>
        <v>0</v>
      </c>
      <c r="G20" s="835">
        <f>ROUND(IF(ISERROR(F20/365),0,(F20/365)*12),2)</f>
        <v>0</v>
      </c>
      <c r="H20" s="836">
        <f>IF(OR($B$18&lt;$K20,$B$17&gt;$L20),0,M20)</f>
        <v>0</v>
      </c>
      <c r="I20" s="837">
        <f>(F20*$E$17)*H20</f>
        <v>0</v>
      </c>
      <c r="J20" s="838">
        <f>IF(ISERROR(I20/H20),0,(I20/H20))</f>
        <v>0</v>
      </c>
      <c r="K20" s="839">
        <v>43647</v>
      </c>
      <c r="L20" s="840">
        <v>44012</v>
      </c>
      <c r="M20" s="841">
        <v>0.53</v>
      </c>
    </row>
    <row r="21" spans="1:13">
      <c r="B21" s="848"/>
      <c r="C21" s="849"/>
      <c r="D21" s="850"/>
      <c r="E21" s="851"/>
      <c r="F21" s="852">
        <f>IF(OR($B$18&lt;$K21,$B$17&gt;$L21),0,(MIN($B$18,$L21)-MAX($B$17,$K21)+1))</f>
        <v>0</v>
      </c>
      <c r="G21" s="852">
        <f>ROUND(IF(ISERROR(F21/365),0,(F21/365)*12),2)</f>
        <v>0</v>
      </c>
      <c r="H21" s="853">
        <f>IF(OR($B$18&lt;$K21,$B$17&gt;$L21),0,M21)</f>
        <v>0</v>
      </c>
      <c r="I21" s="854">
        <f>(F21*$E$17)*H21</f>
        <v>0</v>
      </c>
      <c r="J21" s="855">
        <f>IF(ISERROR(I21/H21),0,(I21/H21))</f>
        <v>0</v>
      </c>
      <c r="K21" s="839">
        <v>44013</v>
      </c>
      <c r="L21" s="840">
        <v>47664</v>
      </c>
      <c r="M21" s="841">
        <v>0.53</v>
      </c>
    </row>
    <row r="22" spans="1:13">
      <c r="B22" s="856" t="s">
        <v>502</v>
      </c>
      <c r="C22" s="857"/>
      <c r="D22" s="858">
        <f>SUM(D17:D21)</f>
        <v>0</v>
      </c>
      <c r="E22" s="859"/>
      <c r="F22" s="860">
        <f>SUM(F17:F21)</f>
        <v>365</v>
      </c>
      <c r="G22" s="861">
        <f>SUM(G17:G21)</f>
        <v>12</v>
      </c>
      <c r="H22" s="862">
        <f>AVERAGEIF(H17:H21,"&lt;&gt;0")</f>
        <v>0.52</v>
      </c>
      <c r="I22" s="863">
        <f>SUM(I17:I21)</f>
        <v>0</v>
      </c>
      <c r="J22" s="864">
        <f>SUM(J17:J21)</f>
        <v>0</v>
      </c>
      <c r="K22" s="865"/>
      <c r="L22" s="865"/>
      <c r="M22" s="865"/>
    </row>
    <row r="23" spans="1:13">
      <c r="F23" s="866"/>
      <c r="G23" s="820"/>
    </row>
    <row r="24" spans="1:13" ht="14.25" customHeight="1">
      <c r="F24" s="820"/>
      <c r="G24" s="820"/>
    </row>
    <row r="25" spans="1:13" ht="18" customHeight="1" thickBot="1">
      <c r="A25" s="816" t="s">
        <v>503</v>
      </c>
      <c r="B25" s="817" t="s">
        <v>484</v>
      </c>
      <c r="C25" s="818" t="s">
        <v>485</v>
      </c>
      <c r="D25" s="819" t="s">
        <v>486</v>
      </c>
      <c r="E25" s="818" t="s">
        <v>485</v>
      </c>
      <c r="F25" s="820"/>
      <c r="G25" s="818" t="s">
        <v>485</v>
      </c>
      <c r="H25" s="808"/>
      <c r="I25" s="818" t="s">
        <v>485</v>
      </c>
      <c r="J25" s="818" t="s">
        <v>485</v>
      </c>
    </row>
    <row r="26" spans="1:13" ht="13.8" thickBot="1">
      <c r="A26" s="808"/>
      <c r="B26" s="817" t="s">
        <v>488</v>
      </c>
      <c r="C26" s="867" t="s">
        <v>489</v>
      </c>
      <c r="D26" s="824" t="s">
        <v>490</v>
      </c>
      <c r="E26" s="825" t="s">
        <v>491</v>
      </c>
      <c r="F26" s="823" t="s">
        <v>492</v>
      </c>
      <c r="G26" s="823" t="s">
        <v>493</v>
      </c>
      <c r="H26" s="826" t="s">
        <v>494</v>
      </c>
      <c r="I26" s="826" t="s">
        <v>495</v>
      </c>
      <c r="J26" s="827" t="s">
        <v>496</v>
      </c>
    </row>
    <row r="27" spans="1:13" ht="13.8" thickBot="1">
      <c r="A27" s="830" t="s">
        <v>500</v>
      </c>
      <c r="B27" s="831">
        <f>IF(term&gt;=2,B17+365,0)</f>
        <v>43282</v>
      </c>
      <c r="C27" s="832">
        <f>ROUND(IF((B27=0),0,(B28-B27))/30,0)</f>
        <v>12</v>
      </c>
      <c r="D27" s="833">
        <f>'Base Budget'!N206</f>
        <v>0</v>
      </c>
      <c r="E27" s="834">
        <f>IF(ISERROR(D27/F32),0,(D27/F32))</f>
        <v>0</v>
      </c>
      <c r="F27" s="835">
        <f>IF(OR($B$28&lt;$K17,$B$27&gt;$L17),0,(MIN($B$28,$L17)-MAX($B$27,$K17)+1))</f>
        <v>0</v>
      </c>
      <c r="G27" s="835">
        <f>ROUND(IF(ISERROR(F27/365),0,(F27/365))*12,0)</f>
        <v>0</v>
      </c>
      <c r="H27" s="836">
        <f>IF(OR($B$28&lt;$K17,$B$27&gt;$L17),0,M17)</f>
        <v>0</v>
      </c>
      <c r="I27" s="837">
        <f>(F27*$E$27)*H27</f>
        <v>0</v>
      </c>
      <c r="J27" s="838">
        <f>IF(ISERROR(I27/H27),0,(I27/H27))</f>
        <v>0</v>
      </c>
    </row>
    <row r="28" spans="1:13" ht="13.8" thickBot="1">
      <c r="A28" s="842" t="s">
        <v>501</v>
      </c>
      <c r="B28" s="831">
        <f>IF(term&gt;=2,B27+364,0)</f>
        <v>43646</v>
      </c>
      <c r="D28" s="844"/>
      <c r="E28" s="845"/>
      <c r="F28" s="835">
        <f>IF(OR($B$28&lt;$K18,$B$27&gt;$L18),0,(MIN($B$28,$L18)-MAX($B$27,$K18)+1))</f>
        <v>0</v>
      </c>
      <c r="G28" s="835">
        <f>ROUND(IF(ISERROR(F28/365),0,(F28/365))*12,0)</f>
        <v>0</v>
      </c>
      <c r="H28" s="836">
        <f>IF(OR($B$28&lt;$K18,$B$27&gt;$L18),0,M18)</f>
        <v>0</v>
      </c>
      <c r="I28" s="837">
        <f>(F28*$E$27)*H28</f>
        <v>0</v>
      </c>
      <c r="J28" s="838">
        <f>IF(ISERROR(I28/H28),0,(I28/H28))</f>
        <v>0</v>
      </c>
    </row>
    <row r="29" spans="1:13">
      <c r="C29" s="847"/>
      <c r="D29" s="844"/>
      <c r="E29" s="845"/>
      <c r="F29" s="835">
        <f>IF(OR($B$28&lt;$K19,$B$27&gt;$L19),0,(MIN($B$28,$L19)-MAX($B$27,$K19)+1))</f>
        <v>365</v>
      </c>
      <c r="G29" s="835">
        <f>ROUND(IF(ISERROR(F29/365),0,(F29/365))*12,0)</f>
        <v>12</v>
      </c>
      <c r="H29" s="836">
        <f>IF(OR($B$28&lt;$K19,$B$27&gt;$L19),0,M19)</f>
        <v>0.53</v>
      </c>
      <c r="I29" s="837">
        <f>(F29*$E$27)*H29</f>
        <v>0</v>
      </c>
      <c r="J29" s="838">
        <f>IF(ISERROR(I29/H29),0,(I29/H29))</f>
        <v>0</v>
      </c>
    </row>
    <row r="30" spans="1:13">
      <c r="A30" s="808"/>
      <c r="C30" s="847"/>
      <c r="D30" s="844"/>
      <c r="E30" s="845"/>
      <c r="F30" s="835">
        <f>IF(OR($B$28&lt;$K20,$B$27&gt;$L20),0,(MIN($B$28,$L20)-MAX($B$27,$K20)+1))</f>
        <v>0</v>
      </c>
      <c r="G30" s="835">
        <f>ROUND(IF(ISERROR(F30/365),0,(F30/365))*12,0)</f>
        <v>0</v>
      </c>
      <c r="H30" s="836">
        <f>IF(OR($B$28&lt;$K20,$B$27&gt;$L20),0,M20)</f>
        <v>0</v>
      </c>
      <c r="I30" s="837">
        <f>(F30*$E$27)*H30</f>
        <v>0</v>
      </c>
      <c r="J30" s="838">
        <f>IF(ISERROR(I30/H30),0,(I30/H30))</f>
        <v>0</v>
      </c>
    </row>
    <row r="31" spans="1:13">
      <c r="B31" s="848"/>
      <c r="C31" s="849"/>
      <c r="D31" s="850"/>
      <c r="E31" s="851"/>
      <c r="F31" s="852">
        <f>IF(OR($B$28&lt;$K21,$B$27&gt;$L21),0,(MIN($B$28,$L21)-MAX($B$27,$K21)+1))</f>
        <v>0</v>
      </c>
      <c r="G31" s="852">
        <f>ROUND(IF(ISERROR(F31/365),0,(F31/365))*12,0)</f>
        <v>0</v>
      </c>
      <c r="H31" s="853">
        <f>IF(OR($B$28&lt;$K21,$B$27&gt;$L21),0,M21)</f>
        <v>0</v>
      </c>
      <c r="I31" s="854">
        <f>(F31*$E$27)*H31</f>
        <v>0</v>
      </c>
      <c r="J31" s="855">
        <f>IF(ISERROR(I31/H31),0,(I31/H31))</f>
        <v>0</v>
      </c>
    </row>
    <row r="32" spans="1:13">
      <c r="B32" s="856" t="s">
        <v>502</v>
      </c>
      <c r="C32" s="857"/>
      <c r="D32" s="858">
        <f>SUM(D27:D31)</f>
        <v>0</v>
      </c>
      <c r="E32" s="859"/>
      <c r="F32" s="860">
        <f>SUM(F27:F31)</f>
        <v>365</v>
      </c>
      <c r="G32" s="861">
        <f>SUM(G27:G31)</f>
        <v>12</v>
      </c>
      <c r="H32" s="862">
        <f>AVERAGEIF(H27:H31,"&lt;&gt;0")</f>
        <v>0.53</v>
      </c>
      <c r="I32" s="863">
        <f>SUM(I27:I31)</f>
        <v>0</v>
      </c>
      <c r="J32" s="864">
        <f>SUM(J27:J31)</f>
        <v>0</v>
      </c>
      <c r="K32" s="868"/>
    </row>
    <row r="33" spans="1:12">
      <c r="F33" s="820"/>
      <c r="K33" s="868"/>
    </row>
    <row r="34" spans="1:12">
      <c r="C34" s="869"/>
      <c r="F34" s="820"/>
      <c r="K34" s="868"/>
    </row>
    <row r="35" spans="1:12" ht="13.8" thickBot="1">
      <c r="A35" s="816" t="s">
        <v>504</v>
      </c>
      <c r="B35" s="817" t="s">
        <v>484</v>
      </c>
      <c r="C35" s="818" t="s">
        <v>485</v>
      </c>
      <c r="D35" s="819" t="s">
        <v>486</v>
      </c>
      <c r="E35" s="818" t="s">
        <v>485</v>
      </c>
      <c r="F35" s="820"/>
      <c r="G35" s="818" t="s">
        <v>485</v>
      </c>
      <c r="H35" s="808"/>
      <c r="I35" s="818" t="s">
        <v>485</v>
      </c>
      <c r="J35" s="818" t="s">
        <v>485</v>
      </c>
    </row>
    <row r="36" spans="1:12" ht="13.8" thickBot="1">
      <c r="A36" s="808"/>
      <c r="B36" s="817" t="s">
        <v>488</v>
      </c>
      <c r="C36" s="823" t="s">
        <v>489</v>
      </c>
      <c r="D36" s="824" t="s">
        <v>490</v>
      </c>
      <c r="E36" s="825" t="s">
        <v>491</v>
      </c>
      <c r="F36" s="823" t="s">
        <v>492</v>
      </c>
      <c r="G36" s="823" t="s">
        <v>493</v>
      </c>
      <c r="H36" s="826" t="s">
        <v>494</v>
      </c>
      <c r="I36" s="826" t="s">
        <v>495</v>
      </c>
      <c r="J36" s="827" t="s">
        <v>496</v>
      </c>
    </row>
    <row r="37" spans="1:12" ht="13.8" thickBot="1">
      <c r="A37" s="830" t="s">
        <v>500</v>
      </c>
      <c r="B37" s="831">
        <f>IF(term&gt;=3,B27+365,0)</f>
        <v>43647</v>
      </c>
      <c r="C37" s="832">
        <f>ROUND(IF((B37=0),0,(B38-B37))/30,0)</f>
        <v>12</v>
      </c>
      <c r="D37" s="833">
        <f>'Base Budget'!P206</f>
        <v>0</v>
      </c>
      <c r="E37" s="834">
        <f>IF(ISERROR(D37/F42),0,(D37/F42))</f>
        <v>0</v>
      </c>
      <c r="F37" s="870">
        <f>IF(OR($B$38&lt;$K17,$B$37&gt;$L17),0,(MIN($B$38,$L17)-MAX($B$37,$K17)+1))</f>
        <v>0</v>
      </c>
      <c r="G37" s="835">
        <f>ROUND(IF(ISERROR(F37/365),0,(F37/365))*12,0)</f>
        <v>0</v>
      </c>
      <c r="H37" s="836">
        <f>IF(OR($B$38&lt;$K17,$B$37&gt;$L17),0,M17)</f>
        <v>0</v>
      </c>
      <c r="I37" s="837">
        <f>(F37*$E$37)*H37</f>
        <v>0</v>
      </c>
      <c r="J37" s="838">
        <f>IF(ISERROR(I37/H37),0,(I37/H37))</f>
        <v>0</v>
      </c>
    </row>
    <row r="38" spans="1:12" ht="13.8" thickBot="1">
      <c r="A38" s="842" t="s">
        <v>501</v>
      </c>
      <c r="B38" s="831">
        <f>IF(term&gt;=3,B37+364,0)</f>
        <v>44011</v>
      </c>
      <c r="D38" s="844"/>
      <c r="E38" s="845"/>
      <c r="F38" s="835">
        <f>IF(OR($B$38&lt;$K18,$B$37&gt;$L18),0,(MIN($B$38,$L18)-MAX($B$37,$K18)+1))</f>
        <v>0</v>
      </c>
      <c r="G38" s="835">
        <f>ROUND(IF(ISERROR(F38/365),0,(F38/365))*12,0)</f>
        <v>0</v>
      </c>
      <c r="H38" s="836">
        <f>IF(OR($B$38&lt;$K18,$B$37&gt;$L18),0,M18)</f>
        <v>0</v>
      </c>
      <c r="I38" s="837">
        <f>(F38*$E$37)*H38</f>
        <v>0</v>
      </c>
      <c r="J38" s="838">
        <f>IF(ISERROR(I38/H38),0,(I38/H38))</f>
        <v>0</v>
      </c>
      <c r="K38" s="868"/>
      <c r="L38" s="868"/>
    </row>
    <row r="39" spans="1:12">
      <c r="C39" s="847"/>
      <c r="D39" s="844"/>
      <c r="E39" s="845"/>
      <c r="F39" s="835">
        <f>IF(OR($B$38&lt;$K19,$B$37&gt;$L19),0,(MIN($B$38,$L19)-MAX($B$37,$K19)+1))</f>
        <v>0</v>
      </c>
      <c r="G39" s="835">
        <f>ROUND(IF(ISERROR(F39/365),0,(F39/365))*12,0)</f>
        <v>0</v>
      </c>
      <c r="H39" s="836">
        <f>IF(OR($B$38&lt;$K19,$B$37&gt;$L19),0,M19)</f>
        <v>0</v>
      </c>
      <c r="I39" s="837">
        <f>(F39*$E$37)*H39</f>
        <v>0</v>
      </c>
      <c r="J39" s="838">
        <f>IF(ISERROR(I39/H39),0,(I39/H39))</f>
        <v>0</v>
      </c>
      <c r="K39" s="868"/>
      <c r="L39" s="868"/>
    </row>
    <row r="40" spans="1:12">
      <c r="A40" s="808"/>
      <c r="C40" s="847"/>
      <c r="D40" s="844"/>
      <c r="E40" s="845"/>
      <c r="F40" s="835">
        <f>IF(OR($B$38&lt;$K20,$B$37&gt;$L20),0,(MIN($B$38,$L20)-MAX($B$37,$K20)+1))</f>
        <v>365</v>
      </c>
      <c r="G40" s="835">
        <f>ROUND(IF(ISERROR(F40/365),0,(F40/365))*12,0)</f>
        <v>12</v>
      </c>
      <c r="H40" s="836">
        <f>IF(OR($B$38&lt;$K20,$B$37&gt;$L20),0,M20)</f>
        <v>0.53</v>
      </c>
      <c r="I40" s="837">
        <f>(F40*$E$37)*H40</f>
        <v>0</v>
      </c>
      <c r="J40" s="838">
        <f>IF(ISERROR(I40/H40),0,(I40/H40))</f>
        <v>0</v>
      </c>
      <c r="K40" s="868"/>
      <c r="L40" s="868"/>
    </row>
    <row r="41" spans="1:12">
      <c r="B41" s="848"/>
      <c r="C41" s="849"/>
      <c r="D41" s="850"/>
      <c r="E41" s="851"/>
      <c r="F41" s="852">
        <f>IF(OR($B$38&lt;$K21,$B$37&gt;$L21),0,(MIN($B$38,$L21)-MAX($B$37,$K21)+1))</f>
        <v>0</v>
      </c>
      <c r="G41" s="852">
        <f>ROUND(IF(ISERROR(F41/365),0,(F41/365))*12,0)</f>
        <v>0</v>
      </c>
      <c r="H41" s="853">
        <f>IF(OR($B$38&lt;$K21,$B$37&gt;$L21),0,M21)</f>
        <v>0</v>
      </c>
      <c r="I41" s="854">
        <f>(F41*$E$37)*H41</f>
        <v>0</v>
      </c>
      <c r="J41" s="855">
        <f>IF(ISERROR(I41/H41),0,(I41/H41))</f>
        <v>0</v>
      </c>
    </row>
    <row r="42" spans="1:12">
      <c r="B42" s="856" t="s">
        <v>502</v>
      </c>
      <c r="C42" s="857"/>
      <c r="D42" s="858">
        <f>SUM(D37:D41)</f>
        <v>0</v>
      </c>
      <c r="E42" s="859"/>
      <c r="F42" s="860">
        <f>SUM(F37:F41)</f>
        <v>365</v>
      </c>
      <c r="G42" s="861">
        <f>SUM(G37:G41)</f>
        <v>12</v>
      </c>
      <c r="H42" s="862">
        <f>AVERAGEIF(H37:H41,"&lt;&gt;0")</f>
        <v>0.53</v>
      </c>
      <c r="I42" s="863">
        <f>SUM(I37:I41)</f>
        <v>0</v>
      </c>
      <c r="J42" s="864">
        <f>SUM(J37:J41)</f>
        <v>0</v>
      </c>
      <c r="K42" s="868"/>
    </row>
    <row r="43" spans="1:12">
      <c r="F43" s="820"/>
      <c r="K43" s="868"/>
    </row>
    <row r="44" spans="1:12">
      <c r="F44" s="820"/>
    </row>
    <row r="45" spans="1:12" ht="13.8" thickBot="1">
      <c r="A45" s="816" t="s">
        <v>505</v>
      </c>
      <c r="B45" s="817" t="s">
        <v>484</v>
      </c>
      <c r="C45" s="818" t="s">
        <v>485</v>
      </c>
      <c r="D45" s="819" t="s">
        <v>486</v>
      </c>
      <c r="E45" s="818" t="s">
        <v>485</v>
      </c>
      <c r="F45" s="820"/>
      <c r="G45" s="818" t="s">
        <v>485</v>
      </c>
      <c r="H45" s="808"/>
      <c r="I45" s="818" t="s">
        <v>485</v>
      </c>
      <c r="J45" s="818" t="s">
        <v>485</v>
      </c>
      <c r="K45" s="868"/>
    </row>
    <row r="46" spans="1:12" ht="13.8" thickBot="1">
      <c r="A46" s="808"/>
      <c r="B46" s="817" t="s">
        <v>488</v>
      </c>
      <c r="C46" s="823" t="s">
        <v>489</v>
      </c>
      <c r="D46" s="824" t="s">
        <v>490</v>
      </c>
      <c r="E46" s="825" t="s">
        <v>491</v>
      </c>
      <c r="F46" s="823" t="s">
        <v>492</v>
      </c>
      <c r="G46" s="823" t="s">
        <v>493</v>
      </c>
      <c r="H46" s="826" t="s">
        <v>494</v>
      </c>
      <c r="I46" s="826" t="s">
        <v>495</v>
      </c>
      <c r="J46" s="827" t="s">
        <v>496</v>
      </c>
    </row>
    <row r="47" spans="1:12" ht="13.8" thickBot="1">
      <c r="A47" s="830" t="s">
        <v>500</v>
      </c>
      <c r="B47" s="831">
        <f>IF(term&gt;=4,B37+365,0)</f>
        <v>44012</v>
      </c>
      <c r="C47" s="832">
        <f>ROUND(IF((B47=0),0,(B48-B47))/30,0)</f>
        <v>12</v>
      </c>
      <c r="D47" s="833">
        <f>'Base Budget'!R206</f>
        <v>0</v>
      </c>
      <c r="E47" s="834">
        <f>IF(ISERROR(D47/F52),0,(D47/F52))</f>
        <v>0</v>
      </c>
      <c r="F47" s="870">
        <f>IF(OR($B$48&lt;$K17,$B$47&gt;$L17),0,(MIN($B$48,$L17)-MAX($B$47,$K17)+1))</f>
        <v>0</v>
      </c>
      <c r="G47" s="835">
        <f>ROUND(IF(ISERROR(F47/365),0,(F47/365))*12,0)</f>
        <v>0</v>
      </c>
      <c r="H47" s="836">
        <f>IF(OR($B$48&lt;$K17,$B$47&gt;$L17),0,M17)</f>
        <v>0</v>
      </c>
      <c r="I47" s="837">
        <f>(F47*$E$47)*H47</f>
        <v>0</v>
      </c>
      <c r="J47" s="838">
        <f>IF(ISERROR(I47/H47),0,(I47/H47))</f>
        <v>0</v>
      </c>
    </row>
    <row r="48" spans="1:12" ht="13.8" thickBot="1">
      <c r="A48" s="842" t="s">
        <v>501</v>
      </c>
      <c r="B48" s="831">
        <f>IF(term&gt;=4,B47+364,0)</f>
        <v>44376</v>
      </c>
      <c r="D48" s="844"/>
      <c r="E48" s="845"/>
      <c r="F48" s="835">
        <f>IF(OR($B$48&lt;$K18,$B$47&gt;$L18),0,(MIN($B$48,$L18)-MAX($B$47,$K18)+1))</f>
        <v>0</v>
      </c>
      <c r="G48" s="835">
        <f>ROUND(IF(ISERROR(F48/365),0,(F48/365))*12,0)</f>
        <v>0</v>
      </c>
      <c r="H48" s="836">
        <f>IF(OR($B$48&lt;$K18,$B$47&gt;$L18),0,M18)</f>
        <v>0</v>
      </c>
      <c r="I48" s="837">
        <f>(F48*$E$47)*H48</f>
        <v>0</v>
      </c>
      <c r="J48" s="838">
        <f>IF(ISERROR(I48/H48),0,(I48/H48))</f>
        <v>0</v>
      </c>
      <c r="K48" s="871"/>
    </row>
    <row r="49" spans="1:11">
      <c r="C49" s="847"/>
      <c r="D49" s="844"/>
      <c r="E49" s="845"/>
      <c r="F49" s="835">
        <f>IF(OR($B$48&lt;$K19,$B$47&gt;$L19),0,(MIN($B$48,$L19)-MAX($B$47,$K19)+1))</f>
        <v>0</v>
      </c>
      <c r="G49" s="835">
        <f>ROUND(IF(ISERROR(F49/365),0,(F49/365))*12,0)</f>
        <v>0</v>
      </c>
      <c r="H49" s="836">
        <f>IF(OR($B$48&lt;$K19,$B$47&gt;$L19),0,M19)</f>
        <v>0</v>
      </c>
      <c r="I49" s="837">
        <f>(F49*$E$47)*H49</f>
        <v>0</v>
      </c>
      <c r="J49" s="838">
        <f>IF(ISERROR(I49/H49),0,(I49/H49))</f>
        <v>0</v>
      </c>
    </row>
    <row r="50" spans="1:11">
      <c r="A50" s="808"/>
      <c r="C50" s="847"/>
      <c r="D50" s="844"/>
      <c r="E50" s="845"/>
      <c r="F50" s="835">
        <f>IF(OR($B$48&lt;$K20,$B$47&gt;$L20),0,(MIN($B$48,$L20)-MAX($B$47,$K20)+1))</f>
        <v>1</v>
      </c>
      <c r="G50" s="835">
        <f>ROUND(IF(ISERROR(F50/365),0,(F50/365))*12,0)</f>
        <v>0</v>
      </c>
      <c r="H50" s="836">
        <f>IF(OR($B$48&lt;$K20,$B$47&gt;$L20),0,M20)</f>
        <v>0.53</v>
      </c>
      <c r="I50" s="837">
        <f>(F50*$E$47)*H50</f>
        <v>0</v>
      </c>
      <c r="J50" s="838">
        <f>IF(ISERROR(I50/H50),0,(I50/H50))</f>
        <v>0</v>
      </c>
      <c r="K50" s="871"/>
    </row>
    <row r="51" spans="1:11">
      <c r="B51" s="848"/>
      <c r="C51" s="849"/>
      <c r="D51" s="850"/>
      <c r="E51" s="851"/>
      <c r="F51" s="852">
        <f>IF(OR($B$48&lt;$K21,$B$47&gt;$L21),0,(MIN($B$48,$L21)-MAX($B$47,$K21)+1))</f>
        <v>364</v>
      </c>
      <c r="G51" s="852">
        <f>ROUND(IF(ISERROR(F51/365),0,(F51/365))*12,0)</f>
        <v>12</v>
      </c>
      <c r="H51" s="853">
        <f>IF(OR($B$48&lt;$K21,$B$47&gt;$L21),0,M21)</f>
        <v>0.53</v>
      </c>
      <c r="I51" s="854">
        <f>(F51*$E$47)*H51</f>
        <v>0</v>
      </c>
      <c r="J51" s="855">
        <f>IF(ISERROR(I51/H51),0,(I51/H51))</f>
        <v>0</v>
      </c>
    </row>
    <row r="52" spans="1:11">
      <c r="B52" s="856" t="s">
        <v>502</v>
      </c>
      <c r="C52" s="857"/>
      <c r="D52" s="858">
        <f>SUM(D47:D51)</f>
        <v>0</v>
      </c>
      <c r="E52" s="859"/>
      <c r="F52" s="860">
        <f>SUM(F47:F51)</f>
        <v>365</v>
      </c>
      <c r="G52" s="861">
        <f>SUM(G47:G51)</f>
        <v>12</v>
      </c>
      <c r="H52" s="862">
        <f>AVERAGEIF(H47:H51,"&lt;&gt;0")</f>
        <v>0.53</v>
      </c>
      <c r="I52" s="863">
        <f>SUM(I47:I51)</f>
        <v>0</v>
      </c>
      <c r="J52" s="864">
        <f>SUM(J47:J51)</f>
        <v>0</v>
      </c>
    </row>
    <row r="53" spans="1:11">
      <c r="F53" s="820"/>
    </row>
    <row r="54" spans="1:11">
      <c r="F54" s="820"/>
    </row>
    <row r="55" spans="1:11" ht="13.8" thickBot="1">
      <c r="A55" s="816" t="s">
        <v>506</v>
      </c>
      <c r="B55" s="817" t="s">
        <v>484</v>
      </c>
      <c r="C55" s="818" t="s">
        <v>485</v>
      </c>
      <c r="D55" s="819" t="s">
        <v>486</v>
      </c>
      <c r="E55" s="818" t="s">
        <v>485</v>
      </c>
      <c r="F55" s="820"/>
      <c r="G55" s="818" t="s">
        <v>485</v>
      </c>
      <c r="H55" s="808"/>
      <c r="I55" s="818" t="s">
        <v>485</v>
      </c>
      <c r="J55" s="818" t="s">
        <v>485</v>
      </c>
    </row>
    <row r="56" spans="1:11" ht="13.8" thickBot="1">
      <c r="A56" s="808"/>
      <c r="B56" s="817" t="s">
        <v>488</v>
      </c>
      <c r="C56" s="823" t="s">
        <v>489</v>
      </c>
      <c r="D56" s="824" t="s">
        <v>490</v>
      </c>
      <c r="E56" s="825" t="s">
        <v>491</v>
      </c>
      <c r="F56" s="823" t="s">
        <v>492</v>
      </c>
      <c r="G56" s="823" t="s">
        <v>493</v>
      </c>
      <c r="H56" s="826" t="s">
        <v>494</v>
      </c>
      <c r="I56" s="826" t="s">
        <v>495</v>
      </c>
      <c r="J56" s="827" t="s">
        <v>496</v>
      </c>
      <c r="K56" s="868"/>
    </row>
    <row r="57" spans="1:11" ht="13.8" thickBot="1">
      <c r="A57" s="830" t="s">
        <v>500</v>
      </c>
      <c r="B57" s="831">
        <f>IF(term&gt;=5,B47+364)</f>
        <v>44376</v>
      </c>
      <c r="C57" s="832">
        <f>ROUND(IF((B57=0),0,(B58-B57))/30,0)</f>
        <v>12</v>
      </c>
      <c r="D57" s="833">
        <f>'Base Budget'!T206</f>
        <v>0</v>
      </c>
      <c r="E57" s="834">
        <f>IF(ISERROR(D57/F62),0,(D57/F62))</f>
        <v>0</v>
      </c>
      <c r="F57" s="870">
        <f>IF(OR($B$58&lt;$K17,$B$57&gt;$L17),0,(MIN($B$58,$L17)-MAX($B$57,$K17)+1))</f>
        <v>0</v>
      </c>
      <c r="G57" s="835">
        <f>ROUND(IF(ISERROR(F57/365),0,(F57/365))*12,0)</f>
        <v>0</v>
      </c>
      <c r="H57" s="836">
        <f>IF(OR($B$58&lt;$K17,$B$57&gt;$L17),0,M17)</f>
        <v>0</v>
      </c>
      <c r="I57" s="837">
        <f>(F57*$E$57)*H57</f>
        <v>0</v>
      </c>
      <c r="J57" s="838">
        <f>IF(ISERROR(I57/H57),0,(I57/H57))</f>
        <v>0</v>
      </c>
    </row>
    <row r="58" spans="1:11" ht="13.8" thickBot="1">
      <c r="A58" s="842" t="s">
        <v>501</v>
      </c>
      <c r="B58" s="831">
        <f>IF(term=5,B57+364,0)</f>
        <v>44740</v>
      </c>
      <c r="D58" s="844"/>
      <c r="E58" s="845"/>
      <c r="F58" s="835">
        <f>IF(OR($B$58&lt;$K18,$B$57&gt;$L18),0,(MIN($B$58,$L18)-MAX($B$57,$K18)+1))</f>
        <v>0</v>
      </c>
      <c r="G58" s="835">
        <f>ROUND(IF(ISERROR(F58/365),0,(F58/365))*12,0)</f>
        <v>0</v>
      </c>
      <c r="H58" s="836">
        <f>IF(OR($B$58&lt;$K18,$B$57&gt;$L18),0,M18)</f>
        <v>0</v>
      </c>
      <c r="I58" s="837">
        <f>(F58*$E$57)*H58</f>
        <v>0</v>
      </c>
      <c r="J58" s="838">
        <f>IF(ISERROR(I58/H58),0,(I58/H58))</f>
        <v>0</v>
      </c>
    </row>
    <row r="59" spans="1:11">
      <c r="C59" s="847"/>
      <c r="D59" s="844"/>
      <c r="E59" s="845"/>
      <c r="F59" s="835">
        <f>IF(OR($B$58&lt;$K19,$B$57&gt;$L19),0,(MIN($B$58,$L19)-MAX($B$57,$K19)+1))</f>
        <v>0</v>
      </c>
      <c r="G59" s="835">
        <f>ROUND(IF(ISERROR(F59/365),0,(F59/365))*12,0)</f>
        <v>0</v>
      </c>
      <c r="H59" s="836">
        <f>IF(OR($B$58&lt;$K19,$B$57&gt;$L19),0,M19)</f>
        <v>0</v>
      </c>
      <c r="I59" s="837">
        <f>(F59*$E$57)*H59</f>
        <v>0</v>
      </c>
      <c r="J59" s="838">
        <f>IF(ISERROR(I59/H59),0,(I59/H59))</f>
        <v>0</v>
      </c>
    </row>
    <row r="60" spans="1:11">
      <c r="A60" s="808"/>
      <c r="C60" s="847"/>
      <c r="D60" s="844"/>
      <c r="E60" s="845"/>
      <c r="F60" s="835">
        <f>IF(OR($B$58&lt;$K20,$B$57&gt;$L20),0,(MIN($B$58,$L20)-MAX($B$57,$K20)+1))</f>
        <v>0</v>
      </c>
      <c r="G60" s="835">
        <f>ROUND(IF(ISERROR(F60/365),0,(F60/365))*12,0)</f>
        <v>0</v>
      </c>
      <c r="H60" s="836">
        <f>IF(OR($B$58&lt;$K20,$B$57&gt;$L20),0,M20)</f>
        <v>0</v>
      </c>
      <c r="I60" s="837">
        <f>(F60*$E$57)*H60</f>
        <v>0</v>
      </c>
      <c r="J60" s="838">
        <f>IF(ISERROR(I60/H60),0,(I60/H60))</f>
        <v>0</v>
      </c>
    </row>
    <row r="61" spans="1:11">
      <c r="B61" s="848"/>
      <c r="C61" s="849"/>
      <c r="D61" s="850"/>
      <c r="E61" s="851"/>
      <c r="F61" s="852">
        <f>IF(OR($B$58&lt;$K21,$B$57&gt;$L21),0,(MIN($B$58,$L21)-MAX($B$57,$K21)+1))</f>
        <v>365</v>
      </c>
      <c r="G61" s="852">
        <f>ROUND(IF(ISERROR(F61/365),0,(F61/365))*12,0)</f>
        <v>12</v>
      </c>
      <c r="H61" s="853">
        <f>IF(OR($B$58&lt;$K21,$B$57&gt;$L21),0,M21)</f>
        <v>0.53</v>
      </c>
      <c r="I61" s="854">
        <f>(F61*$E$57)*H61</f>
        <v>0</v>
      </c>
      <c r="J61" s="855">
        <f>IF(ISERROR(I61/H61),0,(I61/H61))</f>
        <v>0</v>
      </c>
    </row>
    <row r="62" spans="1:11">
      <c r="B62" s="856" t="s">
        <v>502</v>
      </c>
      <c r="C62" s="857"/>
      <c r="D62" s="858">
        <f>SUM(D57:D61)</f>
        <v>0</v>
      </c>
      <c r="E62" s="859"/>
      <c r="F62" s="860">
        <f>SUM(F57:F61)</f>
        <v>365</v>
      </c>
      <c r="G62" s="861">
        <f>SUM(G57:G61)</f>
        <v>12</v>
      </c>
      <c r="H62" s="862">
        <f>AVERAGEIF(H57:H61,"&lt;&gt;0")</f>
        <v>0.53</v>
      </c>
      <c r="I62" s="863">
        <f>SUM(I57:I61)</f>
        <v>0</v>
      </c>
      <c r="J62" s="864">
        <f>SUM(J57:J61)</f>
        <v>0</v>
      </c>
    </row>
    <row r="63" spans="1:11">
      <c r="F63" s="820"/>
    </row>
    <row r="64" spans="1:11">
      <c r="A64" s="883"/>
      <c r="B64" s="883"/>
      <c r="C64" s="883"/>
      <c r="D64" s="883"/>
      <c r="E64" s="883"/>
      <c r="F64" s="880"/>
      <c r="G64" s="883"/>
      <c r="H64" s="883"/>
      <c r="I64" s="883"/>
      <c r="J64" s="883"/>
    </row>
    <row r="65" spans="1:10">
      <c r="A65" s="884"/>
      <c r="B65" s="885"/>
      <c r="C65" s="886"/>
      <c r="D65" s="887"/>
      <c r="E65" s="886"/>
      <c r="F65" s="880"/>
      <c r="G65" s="886"/>
      <c r="H65" s="888"/>
      <c r="I65" s="886"/>
      <c r="J65" s="886"/>
    </row>
    <row r="66" spans="1:10">
      <c r="A66" s="888"/>
      <c r="B66" s="885"/>
      <c r="C66" s="889"/>
      <c r="D66" s="885"/>
      <c r="E66" s="890"/>
      <c r="F66" s="889"/>
      <c r="G66" s="889"/>
      <c r="H66" s="890"/>
      <c r="I66" s="890"/>
      <c r="J66" s="891"/>
    </row>
    <row r="67" spans="1:10">
      <c r="A67" s="892"/>
      <c r="B67" s="893"/>
      <c r="C67" s="874"/>
      <c r="D67" s="894"/>
      <c r="E67" s="875"/>
      <c r="F67" s="876"/>
      <c r="G67" s="876"/>
      <c r="H67" s="877"/>
      <c r="I67" s="878"/>
      <c r="J67" s="879"/>
    </row>
    <row r="68" spans="1:10">
      <c r="A68" s="892"/>
      <c r="B68" s="893"/>
      <c r="C68" s="883"/>
      <c r="D68" s="880"/>
      <c r="E68" s="881"/>
      <c r="F68" s="876"/>
      <c r="G68" s="876"/>
      <c r="H68" s="877"/>
      <c r="I68" s="878"/>
      <c r="J68" s="879"/>
    </row>
    <row r="69" spans="1:10">
      <c r="A69" s="883"/>
      <c r="B69" s="883"/>
      <c r="C69" s="876"/>
      <c r="D69" s="880"/>
      <c r="E69" s="881"/>
      <c r="F69" s="876"/>
      <c r="G69" s="876"/>
      <c r="H69" s="877"/>
      <c r="I69" s="878"/>
      <c r="J69" s="879"/>
    </row>
    <row r="70" spans="1:10">
      <c r="A70" s="888"/>
      <c r="B70" s="883"/>
      <c r="C70" s="876"/>
      <c r="D70" s="880"/>
      <c r="E70" s="881"/>
      <c r="F70" s="876"/>
      <c r="G70" s="876"/>
      <c r="H70" s="877"/>
      <c r="I70" s="878"/>
      <c r="J70" s="879"/>
    </row>
    <row r="71" spans="1:10">
      <c r="A71" s="883"/>
      <c r="B71" s="883"/>
      <c r="C71" s="876"/>
      <c r="D71" s="880"/>
      <c r="E71" s="881"/>
      <c r="F71" s="876"/>
      <c r="G71" s="876"/>
      <c r="H71" s="877"/>
      <c r="I71" s="878"/>
      <c r="J71" s="879"/>
    </row>
    <row r="72" spans="1:10">
      <c r="A72" s="883"/>
      <c r="B72" s="895"/>
      <c r="C72" s="883"/>
      <c r="D72" s="896"/>
      <c r="E72" s="881"/>
      <c r="F72" s="876"/>
      <c r="G72" s="876"/>
      <c r="H72" s="882"/>
      <c r="I72" s="897"/>
      <c r="J72" s="898"/>
    </row>
    <row r="73" spans="1:10">
      <c r="A73" s="883"/>
      <c r="B73" s="883"/>
      <c r="C73" s="883"/>
      <c r="D73" s="883"/>
      <c r="E73" s="883"/>
      <c r="F73" s="880"/>
      <c r="G73" s="883"/>
      <c r="H73" s="883"/>
      <c r="I73" s="883"/>
      <c r="J73" s="883"/>
    </row>
    <row r="74" spans="1:10">
      <c r="A74" s="883"/>
      <c r="B74" s="883"/>
      <c r="C74" s="883"/>
      <c r="D74" s="883"/>
      <c r="E74" s="883"/>
      <c r="F74" s="880"/>
      <c r="G74" s="883"/>
      <c r="H74" s="883"/>
      <c r="I74" s="883"/>
      <c r="J74" s="883"/>
    </row>
    <row r="75" spans="1:10">
      <c r="A75" s="884"/>
      <c r="B75" s="885"/>
      <c r="C75" s="886"/>
      <c r="D75" s="887"/>
      <c r="E75" s="886"/>
      <c r="F75" s="880"/>
      <c r="G75" s="886"/>
      <c r="H75" s="888"/>
      <c r="I75" s="886"/>
      <c r="J75" s="886"/>
    </row>
    <row r="76" spans="1:10">
      <c r="A76" s="888"/>
      <c r="B76" s="885"/>
      <c r="C76" s="889"/>
      <c r="D76" s="885"/>
      <c r="E76" s="890"/>
      <c r="F76" s="889"/>
      <c r="G76" s="889"/>
      <c r="H76" s="890"/>
      <c r="I76" s="890"/>
      <c r="J76" s="891"/>
    </row>
    <row r="77" spans="1:10">
      <c r="A77" s="892"/>
      <c r="B77" s="893"/>
      <c r="C77" s="874"/>
      <c r="D77" s="894"/>
      <c r="E77" s="875"/>
      <c r="F77" s="876"/>
      <c r="G77" s="876"/>
      <c r="H77" s="877"/>
      <c r="I77" s="878"/>
      <c r="J77" s="879"/>
    </row>
    <row r="78" spans="1:10">
      <c r="A78" s="892"/>
      <c r="B78" s="893"/>
      <c r="C78" s="883"/>
      <c r="D78" s="880"/>
      <c r="E78" s="881"/>
      <c r="F78" s="876"/>
      <c r="G78" s="876"/>
      <c r="H78" s="877"/>
      <c r="I78" s="878"/>
      <c r="J78" s="879"/>
    </row>
    <row r="79" spans="1:10">
      <c r="A79" s="883"/>
      <c r="B79" s="883"/>
      <c r="C79" s="876"/>
      <c r="D79" s="880"/>
      <c r="E79" s="881"/>
      <c r="F79" s="876"/>
      <c r="G79" s="876"/>
      <c r="H79" s="877"/>
      <c r="I79" s="878"/>
      <c r="J79" s="879"/>
    </row>
    <row r="80" spans="1:10">
      <c r="A80" s="888"/>
      <c r="B80" s="883"/>
      <c r="C80" s="876"/>
      <c r="D80" s="880"/>
      <c r="E80" s="881"/>
      <c r="F80" s="876"/>
      <c r="G80" s="876"/>
      <c r="H80" s="877"/>
      <c r="I80" s="878"/>
      <c r="J80" s="879"/>
    </row>
    <row r="81" spans="1:10">
      <c r="A81" s="883"/>
      <c r="B81" s="883"/>
      <c r="C81" s="876"/>
      <c r="D81" s="880"/>
      <c r="E81" s="881"/>
      <c r="F81" s="876"/>
      <c r="G81" s="876"/>
      <c r="H81" s="877"/>
      <c r="I81" s="878"/>
      <c r="J81" s="879"/>
    </row>
    <row r="82" spans="1:10">
      <c r="A82" s="883"/>
      <c r="B82" s="895"/>
      <c r="C82" s="883"/>
      <c r="D82" s="896"/>
      <c r="E82" s="881"/>
      <c r="F82" s="876"/>
      <c r="G82" s="876"/>
      <c r="H82" s="882"/>
      <c r="I82" s="897"/>
      <c r="J82" s="898"/>
    </row>
    <row r="83" spans="1:10">
      <c r="A83" s="883"/>
      <c r="B83" s="883"/>
      <c r="C83" s="883"/>
      <c r="D83" s="883"/>
      <c r="E83" s="883"/>
      <c r="F83" s="883"/>
      <c r="G83" s="883"/>
      <c r="H83" s="883"/>
      <c r="I83" s="883"/>
      <c r="J83" s="883"/>
    </row>
    <row r="84" spans="1:10">
      <c r="A84" s="883"/>
      <c r="B84" s="883"/>
      <c r="C84" s="883"/>
      <c r="D84" s="883"/>
      <c r="E84" s="883"/>
      <c r="F84" s="883"/>
      <c r="G84" s="883"/>
      <c r="H84" s="883"/>
      <c r="I84" s="883"/>
      <c r="J84" s="883"/>
    </row>
    <row r="85" spans="1:10">
      <c r="A85" s="883"/>
      <c r="B85" s="883"/>
      <c r="C85" s="883"/>
      <c r="D85" s="883"/>
      <c r="E85" s="883"/>
      <c r="F85" s="883"/>
      <c r="G85" s="883"/>
      <c r="H85" s="883"/>
      <c r="I85" s="883"/>
      <c r="J85" s="883"/>
    </row>
    <row r="86" spans="1:10">
      <c r="A86" s="883"/>
      <c r="B86" s="883"/>
      <c r="C86" s="883"/>
      <c r="D86" s="883"/>
      <c r="E86" s="883"/>
      <c r="F86" s="883"/>
      <c r="G86" s="883"/>
      <c r="H86" s="883"/>
      <c r="I86" s="883"/>
      <c r="J86" s="883"/>
    </row>
    <row r="87" spans="1:10">
      <c r="A87" s="883"/>
      <c r="B87" s="883"/>
      <c r="C87" s="883"/>
      <c r="D87" s="883"/>
      <c r="E87" s="883"/>
      <c r="F87" s="883"/>
      <c r="G87" s="883"/>
      <c r="H87" s="883"/>
      <c r="I87" s="883"/>
      <c r="J87" s="883"/>
    </row>
  </sheetData>
  <sheetProtection algorithmName="SHA-512" hashValue="zP2iE7oH61WuHvXSzqNHai18mZ9cunx06yPU4ae1GqfKwO1Q8S8b24yTW4itsxCUUyQxJRTrDTwWb99Wu13IXA==" saltValue="RKfFHqDzJitxJ+QckYezlQ==" spinCount="100000" sheet="1" objects="1" scenarios="1"/>
  <dataValidations count="1">
    <dataValidation allowBlank="1" showInputMessage="1" sqref="A1:XFD1048576"/>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1"/>
  <sheetViews>
    <sheetView workbookViewId="0">
      <selection activeCell="A32" sqref="A32"/>
    </sheetView>
  </sheetViews>
  <sheetFormatPr defaultColWidth="9.109375" defaultRowHeight="13.2"/>
  <cols>
    <col min="1" max="1" width="22" style="711" bestFit="1" customWidth="1"/>
    <col min="2" max="2" width="12.33203125" style="711" bestFit="1" customWidth="1"/>
    <col min="3" max="3" width="14.44140625" style="711" customWidth="1"/>
    <col min="4" max="16384" width="9.109375" style="711"/>
  </cols>
  <sheetData>
    <row r="1" spans="1:3" ht="14.4">
      <c r="A1" s="709" t="s">
        <v>370</v>
      </c>
      <c r="B1" s="710" t="s">
        <v>410</v>
      </c>
      <c r="C1" s="708"/>
    </row>
    <row r="2" spans="1:3" ht="14.4">
      <c r="A2" s="709" t="s">
        <v>371</v>
      </c>
      <c r="B2" s="708"/>
      <c r="C2" s="708"/>
    </row>
    <row r="3" spans="1:3" ht="14.4">
      <c r="A3" s="709" t="s">
        <v>372</v>
      </c>
      <c r="B3" s="708"/>
      <c r="C3" s="708"/>
    </row>
    <row r="4" spans="1:3" ht="14.4">
      <c r="A4" s="709" t="s">
        <v>373</v>
      </c>
      <c r="B4" s="712"/>
      <c r="C4" s="712"/>
    </row>
    <row r="5" spans="1:3" ht="14.4">
      <c r="A5" s="713" t="s">
        <v>374</v>
      </c>
      <c r="B5" s="724"/>
      <c r="C5" s="708"/>
    </row>
    <row r="7" spans="1:3" ht="14.4">
      <c r="A7" s="714" t="s">
        <v>375</v>
      </c>
      <c r="B7" s="715" t="s">
        <v>376</v>
      </c>
      <c r="C7" s="714" t="s">
        <v>377</v>
      </c>
    </row>
    <row r="8" spans="1:3" ht="14.4">
      <c r="A8" s="716" t="s">
        <v>378</v>
      </c>
      <c r="B8" s="717" t="s">
        <v>394</v>
      </c>
      <c r="C8" s="718">
        <f>ROUND(SUM('Base Budget'!L95:T95),0)</f>
        <v>0</v>
      </c>
    </row>
    <row r="9" spans="1:3" ht="14.4">
      <c r="A9" s="716" t="s">
        <v>379</v>
      </c>
      <c r="B9" s="717" t="s">
        <v>395</v>
      </c>
      <c r="C9" s="718">
        <f>ROUND(SUM('Base Budget'!L103:T103),0)</f>
        <v>0</v>
      </c>
    </row>
    <row r="10" spans="1:3" ht="14.4">
      <c r="A10" s="716" t="s">
        <v>15</v>
      </c>
      <c r="B10" s="717" t="s">
        <v>396</v>
      </c>
      <c r="C10" s="718">
        <f>ROUND(SUM('Base Budget'!L122:T122),0)</f>
        <v>0</v>
      </c>
    </row>
    <row r="11" spans="1:3" ht="14.4">
      <c r="A11" s="716" t="s">
        <v>380</v>
      </c>
      <c r="B11" s="717" t="s">
        <v>397</v>
      </c>
      <c r="C11" s="718">
        <f>ROUND(SUM('Base Budget'!L161:T161),0)</f>
        <v>0</v>
      </c>
    </row>
    <row r="12" spans="1:3" ht="14.4">
      <c r="A12" s="716" t="s">
        <v>381</v>
      </c>
      <c r="B12" s="717" t="s">
        <v>398</v>
      </c>
      <c r="C12" s="718">
        <v>0</v>
      </c>
    </row>
    <row r="13" spans="1:3" ht="14.4">
      <c r="A13" s="716" t="s">
        <v>382</v>
      </c>
      <c r="B13" s="717" t="s">
        <v>399</v>
      </c>
      <c r="C13" s="718">
        <f>ROUND(SUM('Base Budget'!L173:T176),0)</f>
        <v>0</v>
      </c>
    </row>
    <row r="14" spans="1:3" ht="14.4">
      <c r="A14" s="716" t="s">
        <v>17</v>
      </c>
      <c r="B14" s="717" t="s">
        <v>400</v>
      </c>
      <c r="C14" s="718">
        <f>ROUND(SUM('Base Budget'!L139:T139),0)</f>
        <v>0</v>
      </c>
    </row>
    <row r="15" spans="1:3" ht="14.4">
      <c r="A15" s="716" t="s">
        <v>383</v>
      </c>
      <c r="B15" s="719"/>
      <c r="C15" s="718"/>
    </row>
    <row r="16" spans="1:3" ht="14.4">
      <c r="A16" s="720" t="s">
        <v>384</v>
      </c>
      <c r="B16" s="717" t="s">
        <v>401</v>
      </c>
      <c r="C16" s="718">
        <f>ROUND('Base Budget'!AF198,0)</f>
        <v>0</v>
      </c>
    </row>
    <row r="17" spans="1:3" ht="14.4">
      <c r="A17" s="720" t="s">
        <v>385</v>
      </c>
      <c r="B17" s="717" t="s">
        <v>402</v>
      </c>
      <c r="C17" s="718">
        <f>ROUND('Base Budget'!AH198,0)</f>
        <v>0</v>
      </c>
    </row>
    <row r="18" spans="1:3" ht="14.4">
      <c r="A18" s="716" t="s">
        <v>386</v>
      </c>
      <c r="B18" s="719"/>
      <c r="C18" s="718"/>
    </row>
    <row r="19" spans="1:3" ht="14.4">
      <c r="A19" s="716" t="s">
        <v>387</v>
      </c>
      <c r="B19" s="717" t="s">
        <v>403</v>
      </c>
      <c r="C19" s="718">
        <v>0</v>
      </c>
    </row>
    <row r="20" spans="1:3" ht="14.4">
      <c r="A20" s="716" t="s">
        <v>388</v>
      </c>
      <c r="B20" s="717" t="s">
        <v>404</v>
      </c>
      <c r="C20" s="718">
        <v>0</v>
      </c>
    </row>
    <row r="21" spans="1:3" ht="14.4">
      <c r="A21" s="716" t="s">
        <v>389</v>
      </c>
      <c r="B21" s="717" t="s">
        <v>405</v>
      </c>
      <c r="C21" s="718">
        <v>0</v>
      </c>
    </row>
    <row r="22" spans="1:3" ht="14.4">
      <c r="A22" s="716" t="s">
        <v>390</v>
      </c>
      <c r="B22" s="717" t="s">
        <v>406</v>
      </c>
      <c r="C22" s="718">
        <f>ROUND(SUM('Base Budget'!L113:T113),0)</f>
        <v>0</v>
      </c>
    </row>
    <row r="23" spans="1:3" ht="14.4">
      <c r="A23" s="716" t="s">
        <v>391</v>
      </c>
      <c r="B23" s="717" t="s">
        <v>407</v>
      </c>
      <c r="C23" s="718">
        <v>0</v>
      </c>
    </row>
    <row r="24" spans="1:3" ht="14.4">
      <c r="A24" s="716" t="s">
        <v>392</v>
      </c>
      <c r="B24" s="717" t="s">
        <v>408</v>
      </c>
      <c r="C24" s="718">
        <f>ROUND(SUM('Base Budget'!L145:T145)+SUM('Base Budget'!L153:T153)+SUM('Base Budget'!L165:'Base Budget'!T172),0)</f>
        <v>0</v>
      </c>
    </row>
    <row r="25" spans="1:3" ht="14.4">
      <c r="A25" s="716" t="s">
        <v>145</v>
      </c>
      <c r="B25" s="719"/>
      <c r="C25" s="721">
        <f>SUM(C8:C24)</f>
        <v>0</v>
      </c>
    </row>
    <row r="26" spans="1:3" ht="14.4">
      <c r="A26" s="716" t="s">
        <v>393</v>
      </c>
      <c r="B26" s="717" t="s">
        <v>409</v>
      </c>
      <c r="C26" s="722">
        <f>ROUND(SUM('Base Budget'!L207:T207),0)</f>
        <v>0</v>
      </c>
    </row>
    <row r="27" spans="1:3" ht="15" thickBot="1">
      <c r="A27" s="716" t="s">
        <v>34</v>
      </c>
      <c r="B27" s="719"/>
      <c r="C27" s="723">
        <f>SUM(C25:C26)</f>
        <v>0</v>
      </c>
    </row>
    <row r="28" spans="1:3" ht="15" thickTop="1">
      <c r="A28" s="708"/>
      <c r="B28" s="708"/>
      <c r="C28" s="708"/>
    </row>
    <row r="30" spans="1:3">
      <c r="A30" s="728" t="s">
        <v>417</v>
      </c>
    </row>
    <row r="31" spans="1:3">
      <c r="A31" s="729">
        <v>41557</v>
      </c>
    </row>
  </sheetData>
  <sheetProtection algorithmName="SHA-512" hashValue="yiY4R7KG0Hdgz1RYvO2/NsXKUEFI9jHD5tPYqVb7Em/wHe2hN3V3FqOlalT/AhEiZc7IvsQvB2RotZSaigve3w==" saltValue="qmqfwzuYeISRhn+Y09fc1g==" spinCount="100000" sheet="1" objects="1" scenarios="1" selectLockedCells="1"/>
  <protectedRanges>
    <protectedRange sqref="B5" name="Range1"/>
    <protectedRange sqref="E8:F12" name="Range2"/>
  </protectedRange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62BCDD89-34FF-4C40-9452-1A38CF190AD9}">
            <xm:f>$C$25&lt;&gt;SUM('Base Budget'!$L$205:$T$205)</xm:f>
            <x14:dxf>
              <fill>
                <patternFill>
                  <bgColor rgb="FFFF0000"/>
                </patternFill>
              </fill>
            </x14:dxf>
          </x14:cfRule>
          <xm:sqref>C25</xm:sqref>
        </x14:conditionalFormatting>
        <x14:conditionalFormatting xmlns:xm="http://schemas.microsoft.com/office/excel/2006/main">
          <x14:cfRule type="expression" priority="1" id="{E382F207-5EF6-4F9D-8238-4C67C01B78D8}">
            <xm:f>$C$27&lt;&gt;SUM('Base Budget'!$L$208:$T$208)</xm:f>
            <x14:dxf>
              <fill>
                <patternFill>
                  <bgColor rgb="FFFF0000"/>
                </patternFill>
              </fill>
            </x14:dxf>
          </x14:cfRule>
          <xm:sqref>C27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Face Page</vt:lpstr>
      <vt:lpstr>Base Budget</vt:lpstr>
      <vt:lpstr>Mod Budget Form</vt:lpstr>
      <vt:lpstr>Form Page 4</vt:lpstr>
      <vt:lpstr>Form Page 5</vt:lpstr>
      <vt:lpstr>Checklist</vt:lpstr>
      <vt:lpstr>Tuition</vt:lpstr>
      <vt:lpstr>F&amp;A Calculation - Sponsor Funds</vt:lpstr>
      <vt:lpstr>SPA USE ONLY</vt:lpstr>
      <vt:lpstr>average</vt:lpstr>
      <vt:lpstr>Equipment</vt:lpstr>
      <vt:lpstr>Faculty</vt:lpstr>
      <vt:lpstr>Checklist!FirstIndirect</vt:lpstr>
      <vt:lpstr>Grad</vt:lpstr>
      <vt:lpstr>grad1count</vt:lpstr>
      <vt:lpstr>grad2count</vt:lpstr>
      <vt:lpstr>grad3count</vt:lpstr>
      <vt:lpstr>grad4count</vt:lpstr>
      <vt:lpstr>grad5count</vt:lpstr>
      <vt:lpstr>gradcount</vt:lpstr>
      <vt:lpstr>gradcount1</vt:lpstr>
      <vt:lpstr>IDC</vt:lpstr>
      <vt:lpstr>Merit</vt:lpstr>
      <vt:lpstr>PostDoc</vt:lpstr>
      <vt:lpstr>'Base Budget'!Print_Area</vt:lpstr>
      <vt:lpstr>Checklist!Print_Area</vt:lpstr>
      <vt:lpstr>'Face Page'!Print_Area</vt:lpstr>
      <vt:lpstr>'Form Page 4'!Print_Area</vt:lpstr>
      <vt:lpstr>'Form Page 5'!Print_Area</vt:lpstr>
      <vt:lpstr>'Mod Budget Form'!Print_Area</vt:lpstr>
      <vt:lpstr>Tuition!Print_Area</vt:lpstr>
      <vt:lpstr>'Face Page'!Print_Area_MI</vt:lpstr>
      <vt:lpstr>Professional</vt:lpstr>
      <vt:lpstr>term</vt:lpstr>
      <vt:lpstr>ug</vt:lpstr>
    </vt:vector>
  </TitlesOfParts>
  <Manager>Diane M. Meyer</Manager>
  <Company>Iowa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NIH Modular Budget</dc:title>
  <dc:subject>1-5 Year worksheet, checklist and justification</dc:subject>
  <dc:creator>Office of Sponsored Programs Administration</dc:creator>
  <cp:lastModifiedBy>Thrasher, Patti [M E]</cp:lastModifiedBy>
  <cp:lastPrinted>2011-01-28T20:46:03Z</cp:lastPrinted>
  <dcterms:created xsi:type="dcterms:W3CDTF">1999-04-02T14:11:48Z</dcterms:created>
  <dcterms:modified xsi:type="dcterms:W3CDTF">2017-12-29T17:47:09Z</dcterms:modified>
</cp:coreProperties>
</file>