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Z-PDT desktop\Working Documents\Grant Coordinator Websiet Info\Proposals-PreAwards\Budget Templates\"/>
    </mc:Choice>
  </mc:AlternateContent>
  <bookViews>
    <workbookView xWindow="0" yWindow="0" windowWidth="22692" windowHeight="10476"/>
  </bookViews>
  <sheets>
    <sheet name="Summary" sheetId="2" r:id="rId1"/>
    <sheet name="F&amp;A Calculation- Sponsor Funds " sheetId="6" r:id="rId2"/>
    <sheet name="F&amp;A Calculations - Cost Share" sheetId="7" r:id="rId3"/>
    <sheet name="Tuition" sheetId="3" r:id="rId4"/>
    <sheet name="SPA USE ONLY" sheetId="4" r:id="rId5"/>
  </sheets>
  <externalReferences>
    <externalReference r:id="rId6"/>
    <externalReference r:id="rId7"/>
  </externalReferences>
  <definedNames>
    <definedName name="_YR1" localSheetId="2">#REF!</definedName>
    <definedName name="_YR1">#REF!</definedName>
    <definedName name="_YR2" localSheetId="2">#REF!</definedName>
    <definedName name="_YR2">#REF!</definedName>
    <definedName name="_YR3" localSheetId="2">'[1]Form Page 4'!#REF!</definedName>
    <definedName name="_YR3">'[1]Form Page 4'!#REF!</definedName>
    <definedName name="_YR4" localSheetId="2">'[1]Form Page 4'!#REF!</definedName>
    <definedName name="_YR4">'[1]Form Page 4'!#REF!</definedName>
    <definedName name="_YR5" localSheetId="2">'[1]Form Page 4'!#REF!</definedName>
    <definedName name="_YR5">'[1]Form Page 4'!#REF!</definedName>
    <definedName name="bach" localSheetId="2">#REF!</definedName>
    <definedName name="bach">#REF!</definedName>
    <definedName name="FA_RATE">Summary!$U$4:$U$6</definedName>
    <definedName name="fac" localSheetId="2">#REF!</definedName>
    <definedName name="fac">#REF!</definedName>
    <definedName name="grad" localSheetId="2">#REF!</definedName>
    <definedName name="grad">#REF!</definedName>
    <definedName name="GS" localSheetId="2">'[1]Form Page 4'!#REF!</definedName>
    <definedName name="GS">'[1]Form Page 4'!#REF!</definedName>
    <definedName name="hour" localSheetId="2">#REF!</definedName>
    <definedName name="hour">#REF!</definedName>
    <definedName name="HR" localSheetId="2">'[1]Form Page 4'!#REF!</definedName>
    <definedName name="HR">'[1]Form Page 4'!#REF!</definedName>
    <definedName name="merit" localSheetId="2">#REF!</definedName>
    <definedName name="merit">#REF!</definedName>
    <definedName name="PD" localSheetId="2">'[1]Form Page 4'!#REF!</definedName>
    <definedName name="PD">'[1]Form Page 4'!#REF!</definedName>
    <definedName name="post" localSheetId="2">#REF!</definedName>
    <definedName name="post">#REF!</definedName>
    <definedName name="_xlnm.Print_Area" localSheetId="0">Summary!$A$1:$U$110</definedName>
    <definedName name="_xlnm.Print_Area" localSheetId="3">Tuition!$A$1:$S$65</definedName>
    <definedName name="Print_Area_MI" localSheetId="2">#REF!</definedName>
    <definedName name="Print_Area_MI">#REF!</definedName>
    <definedName name="Print_Titles_MI" localSheetId="2">#REF!</definedName>
    <definedName name="Print_Titles_MI">#REF!</definedName>
    <definedName name="Project2_Comments" localSheetId="1">#REF!</definedName>
    <definedName name="Project2_Comments" localSheetId="2">#REF!</definedName>
    <definedName name="Project2_Comments">#REF!</definedName>
    <definedName name="Project3_Budget" localSheetId="1">#REF!</definedName>
    <definedName name="Project3_Budget" localSheetId="2">#REF!</definedName>
    <definedName name="Project3_Budget">#REF!</definedName>
    <definedName name="Project3_Comments" localSheetId="1">#REF!</definedName>
    <definedName name="Project3_Comments" localSheetId="2">#REF!</definedName>
    <definedName name="Project3_Comments">#REF!</definedName>
    <definedName name="Project4_Budget" localSheetId="1">#REF!</definedName>
    <definedName name="Project4_Budget" localSheetId="2">#REF!</definedName>
    <definedName name="Project4_Budget">#REF!</definedName>
    <definedName name="Project4_Comments" localSheetId="1">#REF!</definedName>
    <definedName name="Project4_Comments" localSheetId="2">#REF!</definedName>
    <definedName name="Project4_Comments">#REF!</definedName>
    <definedName name="Project5_Budget" localSheetId="1">#REF!</definedName>
    <definedName name="Project5_Budget" localSheetId="2">#REF!</definedName>
    <definedName name="Project5_Budget">#REF!</definedName>
    <definedName name="Project5_Comments" localSheetId="1">#REF!</definedName>
    <definedName name="Project5_Comments" localSheetId="2">#REF!</definedName>
    <definedName name="Project5_Comments">#REF!</definedName>
    <definedName name="PRSALARY" localSheetId="2" function="1" xlm="1">#REF!</definedName>
    <definedName name="PRSALARY" function="1" xlm="1">#REF!</definedName>
    <definedName name="ps" localSheetId="2">#REF!</definedName>
    <definedName name="ps">#REF!</definedName>
    <definedName name="ug" localSheetId="2">#REF!</definedName>
    <definedName name="ug">#REF!</definedName>
    <definedName name="years">'[2]Start here'!$I$10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07" i="2" l="1"/>
  <c r="R103" i="2"/>
  <c r="R104" i="2"/>
  <c r="Q104" i="2"/>
  <c r="P104" i="2"/>
  <c r="O104" i="2"/>
  <c r="N104" i="2"/>
  <c r="M104" i="2"/>
  <c r="L104" i="2"/>
  <c r="K104" i="2"/>
  <c r="J104" i="2"/>
  <c r="I104" i="2"/>
  <c r="H104" i="2"/>
  <c r="P94" i="2" l="1"/>
  <c r="H93" i="2"/>
  <c r="H28" i="2"/>
  <c r="H15" i="2"/>
  <c r="Q200" i="3" l="1"/>
  <c r="Q201" i="3" s="1"/>
  <c r="Q202" i="3" s="1"/>
  <c r="Q203" i="3" s="1"/>
  <c r="Q204" i="3" s="1"/>
  <c r="Q205" i="3" s="1"/>
  <c r="Q206" i="3" s="1"/>
  <c r="O199" i="3"/>
  <c r="O200" i="3" s="1"/>
  <c r="O201" i="3" s="1"/>
  <c r="O202" i="3" s="1"/>
  <c r="O203" i="3" s="1"/>
  <c r="O204" i="3" s="1"/>
  <c r="O205" i="3" s="1"/>
  <c r="O206" i="3" s="1"/>
  <c r="M199" i="3"/>
  <c r="M200" i="3" s="1"/>
  <c r="M201" i="3" s="1"/>
  <c r="M202" i="3" s="1"/>
  <c r="M203" i="3" s="1"/>
  <c r="M204" i="3" s="1"/>
  <c r="M205" i="3" s="1"/>
  <c r="M206" i="3" s="1"/>
  <c r="K199" i="3"/>
  <c r="K200" i="3" s="1"/>
  <c r="K201" i="3" s="1"/>
  <c r="K202" i="3" s="1"/>
  <c r="K203" i="3" s="1"/>
  <c r="K204" i="3" s="1"/>
  <c r="K205" i="3" s="1"/>
  <c r="K206" i="3" s="1"/>
  <c r="Q191" i="3"/>
  <c r="O190" i="3"/>
  <c r="M190" i="3"/>
  <c r="K190" i="3"/>
  <c r="Q182" i="3"/>
  <c r="Q183" i="3" s="1"/>
  <c r="Q184" i="3" s="1"/>
  <c r="Q185" i="3" s="1"/>
  <c r="Q186" i="3" s="1"/>
  <c r="Q187" i="3" s="1"/>
  <c r="Q188" i="3" s="1"/>
  <c r="O181" i="3"/>
  <c r="O182" i="3" s="1"/>
  <c r="O183" i="3" s="1"/>
  <c r="O184" i="3" s="1"/>
  <c r="O185" i="3" s="1"/>
  <c r="O186" i="3" s="1"/>
  <c r="O187" i="3" s="1"/>
  <c r="O188" i="3" s="1"/>
  <c r="M181" i="3"/>
  <c r="M182" i="3" s="1"/>
  <c r="M183" i="3" s="1"/>
  <c r="M184" i="3" s="1"/>
  <c r="M185" i="3" s="1"/>
  <c r="M186" i="3" s="1"/>
  <c r="M187" i="3" s="1"/>
  <c r="M188" i="3" s="1"/>
  <c r="K181" i="3"/>
  <c r="K182" i="3" s="1"/>
  <c r="K183" i="3" s="1"/>
  <c r="K184" i="3" s="1"/>
  <c r="K185" i="3" s="1"/>
  <c r="K186" i="3" s="1"/>
  <c r="K187" i="3" s="1"/>
  <c r="K188" i="3" s="1"/>
  <c r="Q170" i="3"/>
  <c r="Q171" i="3" s="1"/>
  <c r="Q172" i="3" s="1"/>
  <c r="Q173" i="3" s="1"/>
  <c r="Q174" i="3" s="1"/>
  <c r="Q175" i="3" s="1"/>
  <c r="Q176" i="3" s="1"/>
  <c r="O170" i="3"/>
  <c r="O171" i="3" s="1"/>
  <c r="O172" i="3" s="1"/>
  <c r="O173" i="3" s="1"/>
  <c r="O174" i="3" s="1"/>
  <c r="O175" i="3" s="1"/>
  <c r="O176" i="3" s="1"/>
  <c r="M170" i="3"/>
  <c r="M171" i="3" s="1"/>
  <c r="M172" i="3" s="1"/>
  <c r="M173" i="3" s="1"/>
  <c r="M174" i="3" s="1"/>
  <c r="M175" i="3" s="1"/>
  <c r="M176" i="3" s="1"/>
  <c r="O169" i="3"/>
  <c r="M169" i="3"/>
  <c r="K169" i="3"/>
  <c r="K170" i="3" s="1"/>
  <c r="K171" i="3" s="1"/>
  <c r="K172" i="3" s="1"/>
  <c r="K173" i="3" s="1"/>
  <c r="K174" i="3" s="1"/>
  <c r="K175" i="3" s="1"/>
  <c r="K176" i="3" s="1"/>
  <c r="Q161" i="3"/>
  <c r="Q162" i="3" s="1"/>
  <c r="Q163" i="3" s="1"/>
  <c r="Q164" i="3" s="1"/>
  <c r="Q165" i="3" s="1"/>
  <c r="Q166" i="3" s="1"/>
  <c r="Q167" i="3" s="1"/>
  <c r="O161" i="3"/>
  <c r="O162" i="3" s="1"/>
  <c r="O163" i="3" s="1"/>
  <c r="O164" i="3" s="1"/>
  <c r="O165" i="3" s="1"/>
  <c r="O166" i="3" s="1"/>
  <c r="O167" i="3" s="1"/>
  <c r="M161" i="3"/>
  <c r="M162" i="3" s="1"/>
  <c r="M163" i="3" s="1"/>
  <c r="M164" i="3" s="1"/>
  <c r="M165" i="3" s="1"/>
  <c r="M166" i="3" s="1"/>
  <c r="M167" i="3" s="1"/>
  <c r="O160" i="3"/>
  <c r="M160" i="3"/>
  <c r="K160" i="3"/>
  <c r="Q153" i="3"/>
  <c r="Q154" i="3" s="1"/>
  <c r="Q155" i="3" s="1"/>
  <c r="Q156" i="3" s="1"/>
  <c r="Q157" i="3" s="1"/>
  <c r="Q158" i="3" s="1"/>
  <c r="Q152" i="3"/>
  <c r="O151" i="3"/>
  <c r="O152" i="3" s="1"/>
  <c r="O153" i="3" s="1"/>
  <c r="O154" i="3" s="1"/>
  <c r="O155" i="3" s="1"/>
  <c r="O156" i="3" s="1"/>
  <c r="O157" i="3" s="1"/>
  <c r="O158" i="3" s="1"/>
  <c r="M151" i="3"/>
  <c r="M152" i="3" s="1"/>
  <c r="M153" i="3" s="1"/>
  <c r="M154" i="3" s="1"/>
  <c r="M155" i="3" s="1"/>
  <c r="M156" i="3" s="1"/>
  <c r="M157" i="3" s="1"/>
  <c r="M158" i="3" s="1"/>
  <c r="K151" i="3"/>
  <c r="K152" i="3" s="1"/>
  <c r="K153" i="3" s="1"/>
  <c r="K154" i="3" s="1"/>
  <c r="K155" i="3" s="1"/>
  <c r="K156" i="3" s="1"/>
  <c r="K157" i="3" s="1"/>
  <c r="K158" i="3" s="1"/>
  <c r="Q141" i="3"/>
  <c r="Q142" i="3" s="1"/>
  <c r="Q143" i="3" s="1"/>
  <c r="Q144" i="3" s="1"/>
  <c r="Q145" i="3" s="1"/>
  <c r="Q146" i="3" s="1"/>
  <c r="Q140" i="3"/>
  <c r="O139" i="3"/>
  <c r="O140" i="3" s="1"/>
  <c r="O141" i="3" s="1"/>
  <c r="O142" i="3" s="1"/>
  <c r="O143" i="3" s="1"/>
  <c r="O144" i="3" s="1"/>
  <c r="O145" i="3" s="1"/>
  <c r="O146" i="3" s="1"/>
  <c r="M139" i="3"/>
  <c r="M140" i="3" s="1"/>
  <c r="M141" i="3" s="1"/>
  <c r="M142" i="3" s="1"/>
  <c r="M143" i="3" s="1"/>
  <c r="M144" i="3" s="1"/>
  <c r="M145" i="3" s="1"/>
  <c r="M146" i="3" s="1"/>
  <c r="K139" i="3"/>
  <c r="K140" i="3" s="1"/>
  <c r="K141" i="3" s="1"/>
  <c r="K142" i="3" s="1"/>
  <c r="K143" i="3" s="1"/>
  <c r="K144" i="3" s="1"/>
  <c r="K145" i="3" s="1"/>
  <c r="K146" i="3" s="1"/>
  <c r="Q131" i="3"/>
  <c r="O131" i="3" s="1"/>
  <c r="M131" i="3" s="1"/>
  <c r="M132" i="3" s="1"/>
  <c r="M133" i="3" s="1"/>
  <c r="M134" i="3" s="1"/>
  <c r="M135" i="3" s="1"/>
  <c r="M136" i="3" s="1"/>
  <c r="M137" i="3" s="1"/>
  <c r="K131" i="3"/>
  <c r="K132" i="3" s="1"/>
  <c r="K133" i="3" s="1"/>
  <c r="K134" i="3" s="1"/>
  <c r="K135" i="3" s="1"/>
  <c r="K136" i="3" s="1"/>
  <c r="K137" i="3" s="1"/>
  <c r="O130" i="3"/>
  <c r="M130" i="3" s="1"/>
  <c r="K130" i="3"/>
  <c r="M123" i="3"/>
  <c r="M124" i="3" s="1"/>
  <c r="M125" i="3" s="1"/>
  <c r="M126" i="3" s="1"/>
  <c r="M127" i="3" s="1"/>
  <c r="M128" i="3" s="1"/>
  <c r="Q122" i="3"/>
  <c r="Q123" i="3" s="1"/>
  <c r="Q124" i="3" s="1"/>
  <c r="Q125" i="3" s="1"/>
  <c r="Q126" i="3" s="1"/>
  <c r="Q127" i="3" s="1"/>
  <c r="Q128" i="3" s="1"/>
  <c r="O121" i="3"/>
  <c r="O122" i="3" s="1"/>
  <c r="O123" i="3" s="1"/>
  <c r="O124" i="3" s="1"/>
  <c r="O125" i="3" s="1"/>
  <c r="O126" i="3" s="1"/>
  <c r="O127" i="3" s="1"/>
  <c r="O128" i="3" s="1"/>
  <c r="M121" i="3"/>
  <c r="M122" i="3" s="1"/>
  <c r="K121" i="3"/>
  <c r="K122" i="3" s="1"/>
  <c r="K123" i="3" s="1"/>
  <c r="K124" i="3" s="1"/>
  <c r="K125" i="3" s="1"/>
  <c r="K126" i="3" s="1"/>
  <c r="K127" i="3" s="1"/>
  <c r="K128" i="3" s="1"/>
  <c r="K111" i="3"/>
  <c r="K112" i="3" s="1"/>
  <c r="K113" i="3" s="1"/>
  <c r="K114" i="3" s="1"/>
  <c r="K115" i="3" s="1"/>
  <c r="K116" i="3" s="1"/>
  <c r="Q110" i="3"/>
  <c r="Q111" i="3" s="1"/>
  <c r="Q112" i="3" s="1"/>
  <c r="Q113" i="3" s="1"/>
  <c r="Q114" i="3" s="1"/>
  <c r="Q115" i="3" s="1"/>
  <c r="Q116" i="3" s="1"/>
  <c r="M110" i="3"/>
  <c r="M111" i="3" s="1"/>
  <c r="M112" i="3" s="1"/>
  <c r="M113" i="3" s="1"/>
  <c r="M114" i="3" s="1"/>
  <c r="M115" i="3" s="1"/>
  <c r="M116" i="3" s="1"/>
  <c r="O109" i="3"/>
  <c r="O110" i="3" s="1"/>
  <c r="O111" i="3" s="1"/>
  <c r="O112" i="3" s="1"/>
  <c r="O113" i="3" s="1"/>
  <c r="O114" i="3" s="1"/>
  <c r="O115" i="3" s="1"/>
  <c r="O116" i="3" s="1"/>
  <c r="M109" i="3"/>
  <c r="K109" i="3"/>
  <c r="K110" i="3" s="1"/>
  <c r="Q101" i="3"/>
  <c r="Q102" i="3" s="1"/>
  <c r="Q103" i="3" s="1"/>
  <c r="Q104" i="3" s="1"/>
  <c r="Q105" i="3" s="1"/>
  <c r="Q106" i="3" s="1"/>
  <c r="Q107" i="3" s="1"/>
  <c r="O101" i="3"/>
  <c r="O100" i="3"/>
  <c r="M100" i="3"/>
  <c r="K100" i="3"/>
  <c r="Q92" i="3"/>
  <c r="O92" i="3" s="1"/>
  <c r="O93" i="3" s="1"/>
  <c r="O94" i="3" s="1"/>
  <c r="O95" i="3" s="1"/>
  <c r="O96" i="3" s="1"/>
  <c r="O97" i="3" s="1"/>
  <c r="O98" i="3" s="1"/>
  <c r="P92" i="3"/>
  <c r="N92" i="3"/>
  <c r="L92" i="3"/>
  <c r="O91" i="3"/>
  <c r="M91" i="3"/>
  <c r="M92" i="3" s="1"/>
  <c r="M93" i="3" s="1"/>
  <c r="M94" i="3" s="1"/>
  <c r="M95" i="3" s="1"/>
  <c r="M96" i="3" s="1"/>
  <c r="M97" i="3" s="1"/>
  <c r="M98" i="3" s="1"/>
  <c r="K91" i="3"/>
  <c r="K92" i="3" s="1"/>
  <c r="K93" i="3" s="1"/>
  <c r="K94" i="3" s="1"/>
  <c r="K95" i="3" s="1"/>
  <c r="K96" i="3" s="1"/>
  <c r="K97" i="3" s="1"/>
  <c r="K98" i="3" s="1"/>
  <c r="S94" i="2"/>
  <c r="O191" i="3" l="1"/>
  <c r="Q192" i="3"/>
  <c r="Q193" i="3" s="1"/>
  <c r="Q194" i="3" s="1"/>
  <c r="Q195" i="3" s="1"/>
  <c r="Q196" i="3" s="1"/>
  <c r="Q197" i="3" s="1"/>
  <c r="Q93" i="3"/>
  <c r="Q94" i="3" s="1"/>
  <c r="Q95" i="3" s="1"/>
  <c r="Q96" i="3" s="1"/>
  <c r="Q97" i="3" s="1"/>
  <c r="Q98" i="3" s="1"/>
  <c r="O132" i="3"/>
  <c r="O133" i="3" s="1"/>
  <c r="O134" i="3" s="1"/>
  <c r="O135" i="3" s="1"/>
  <c r="O136" i="3" s="1"/>
  <c r="O137" i="3" s="1"/>
  <c r="M101" i="3"/>
  <c r="O102" i="3"/>
  <c r="O103" i="3" s="1"/>
  <c r="O104" i="3" s="1"/>
  <c r="O105" i="3" s="1"/>
  <c r="O106" i="3" s="1"/>
  <c r="O107" i="3" s="1"/>
  <c r="Q132" i="3"/>
  <c r="Q133" i="3" s="1"/>
  <c r="Q134" i="3" s="1"/>
  <c r="Q135" i="3" s="1"/>
  <c r="Q136" i="3" s="1"/>
  <c r="Q137" i="3" s="1"/>
  <c r="K161" i="3"/>
  <c r="K162" i="3" s="1"/>
  <c r="K163" i="3" s="1"/>
  <c r="K164" i="3" s="1"/>
  <c r="K165" i="3" s="1"/>
  <c r="K166" i="3" s="1"/>
  <c r="K167" i="3" s="1"/>
  <c r="K28" i="3"/>
  <c r="M28" i="3"/>
  <c r="M7" i="3"/>
  <c r="M6" i="3" s="1"/>
  <c r="O28" i="3"/>
  <c r="K68" i="3"/>
  <c r="K67" i="3" s="1"/>
  <c r="H94" i="2" s="1"/>
  <c r="K69" i="3"/>
  <c r="K8" i="3"/>
  <c r="K7" i="3"/>
  <c r="K6" i="3" s="1"/>
  <c r="K47" i="3"/>
  <c r="K46" i="3" s="1"/>
  <c r="K48" i="3"/>
  <c r="M102" i="3" l="1"/>
  <c r="M103" i="3" s="1"/>
  <c r="M104" i="3" s="1"/>
  <c r="M105" i="3" s="1"/>
  <c r="M106" i="3" s="1"/>
  <c r="M107" i="3" s="1"/>
  <c r="K101" i="3"/>
  <c r="M191" i="3"/>
  <c r="O192" i="3"/>
  <c r="O193" i="3" s="1"/>
  <c r="O194" i="3" s="1"/>
  <c r="O195" i="3" s="1"/>
  <c r="O196" i="3" s="1"/>
  <c r="O197" i="3" s="1"/>
  <c r="M48" i="3"/>
  <c r="M47" i="3"/>
  <c r="M46" i="3" s="1"/>
  <c r="Q28" i="3"/>
  <c r="K27" i="3"/>
  <c r="K26" i="3" s="1"/>
  <c r="O7" i="3" l="1"/>
  <c r="O6" i="3" s="1"/>
  <c r="K191" i="3"/>
  <c r="M192" i="3"/>
  <c r="M68" i="3"/>
  <c r="M67" i="3" s="1"/>
  <c r="J94" i="2" s="1"/>
  <c r="K102" i="3"/>
  <c r="M8" i="3"/>
  <c r="M27" i="3"/>
  <c r="M26" i="3" s="1"/>
  <c r="O47" i="3"/>
  <c r="O46" i="3" s="1"/>
  <c r="S28" i="3"/>
  <c r="Q7" i="3"/>
  <c r="Q6" i="3" s="1"/>
  <c r="O48" i="3"/>
  <c r="K103" i="3" l="1"/>
  <c r="O8" i="3"/>
  <c r="M193" i="3"/>
  <c r="O68" i="3"/>
  <c r="O67" i="3" s="1"/>
  <c r="L94" i="2" s="1"/>
  <c r="K192" i="3"/>
  <c r="M69" i="3"/>
  <c r="Q47" i="3"/>
  <c r="Q46" i="3" s="1"/>
  <c r="Q48" i="3"/>
  <c r="S7" i="3"/>
  <c r="S6" i="3" s="1"/>
  <c r="O27" i="3"/>
  <c r="O26" i="3" s="1"/>
  <c r="N11" i="2"/>
  <c r="M11" i="2" s="1"/>
  <c r="K193" i="3" l="1"/>
  <c r="O69" i="3"/>
  <c r="M194" i="3"/>
  <c r="Q68" i="3"/>
  <c r="Q67" i="3" s="1"/>
  <c r="N94" i="2" s="1"/>
  <c r="K104" i="3"/>
  <c r="Q8" i="3"/>
  <c r="S48" i="3"/>
  <c r="S47" i="3"/>
  <c r="S46" i="3" s="1"/>
  <c r="Q27" i="3"/>
  <c r="Q26" i="3" s="1"/>
  <c r="P11" i="2"/>
  <c r="L11" i="2"/>
  <c r="K11" i="2" s="1"/>
  <c r="Q11" i="2" l="1"/>
  <c r="O11" i="2"/>
  <c r="M195" i="3"/>
  <c r="M196" i="3" s="1"/>
  <c r="M197" i="3" s="1"/>
  <c r="S68" i="3"/>
  <c r="S67" i="3" s="1"/>
  <c r="R94" i="2" s="1"/>
  <c r="T94" i="2" s="1"/>
  <c r="K105" i="3"/>
  <c r="K106" i="3" s="1"/>
  <c r="K107" i="3" s="1"/>
  <c r="S8" i="3"/>
  <c r="K194" i="3"/>
  <c r="Q69" i="3"/>
  <c r="S27" i="3"/>
  <c r="S26" i="3" s="1"/>
  <c r="D104" i="2"/>
  <c r="K195" i="3" l="1"/>
  <c r="K196" i="3" s="1"/>
  <c r="K197" i="3" s="1"/>
  <c r="S69" i="3"/>
  <c r="J11" i="2"/>
  <c r="I11" i="2" s="1"/>
  <c r="H11" i="2"/>
  <c r="B17" i="6" l="1"/>
  <c r="B28" i="6" l="1"/>
  <c r="J15" i="2"/>
  <c r="H16" i="2"/>
  <c r="H17" i="2"/>
  <c r="J17" i="2" s="1"/>
  <c r="H18" i="2"/>
  <c r="H45" i="2" s="1"/>
  <c r="H19" i="2"/>
  <c r="H20" i="2"/>
  <c r="J20" i="2" s="1"/>
  <c r="L20" i="2" s="1"/>
  <c r="H21" i="2"/>
  <c r="J21" i="2" s="1"/>
  <c r="H22" i="2"/>
  <c r="J22" i="2" s="1"/>
  <c r="L22" i="2" s="1"/>
  <c r="H23" i="2"/>
  <c r="J23" i="2" s="1"/>
  <c r="H26" i="2"/>
  <c r="H51" i="2" s="1"/>
  <c r="H27" i="2"/>
  <c r="J27" i="2" s="1"/>
  <c r="H29" i="2"/>
  <c r="J29" i="2" s="1"/>
  <c r="L29" i="2" s="1"/>
  <c r="H30" i="2"/>
  <c r="H31" i="2"/>
  <c r="J31" i="2" s="1"/>
  <c r="L31" i="2" s="1"/>
  <c r="H32" i="2"/>
  <c r="H57" i="2" s="1"/>
  <c r="H33" i="2"/>
  <c r="H58" i="2" s="1"/>
  <c r="H34" i="2"/>
  <c r="H35" i="2"/>
  <c r="H60" i="2" s="1"/>
  <c r="H36" i="2"/>
  <c r="H61" i="2" s="1"/>
  <c r="H37" i="2"/>
  <c r="H62" i="2" s="1"/>
  <c r="H44" i="2"/>
  <c r="H49" i="2"/>
  <c r="H52" i="2"/>
  <c r="H53" i="2"/>
  <c r="H59" i="2"/>
  <c r="H66" i="2"/>
  <c r="H70" i="2"/>
  <c r="H74" i="2"/>
  <c r="R74" i="2" s="1"/>
  <c r="H91" i="2"/>
  <c r="B58" i="7"/>
  <c r="B57" i="7"/>
  <c r="I43" i="2"/>
  <c r="Q25" i="2"/>
  <c r="Q42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6" i="2"/>
  <c r="Q70" i="2"/>
  <c r="Q74" i="2"/>
  <c r="Q80" i="2"/>
  <c r="B58" i="6"/>
  <c r="B57" i="6"/>
  <c r="C57" i="6" s="1"/>
  <c r="J28" i="2"/>
  <c r="L28" i="2" s="1"/>
  <c r="J33" i="2"/>
  <c r="L33" i="2" s="1"/>
  <c r="J35" i="2"/>
  <c r="L35" i="2" s="1"/>
  <c r="J37" i="2"/>
  <c r="L37" i="2" s="1"/>
  <c r="J93" i="2"/>
  <c r="P66" i="2"/>
  <c r="P70" i="2"/>
  <c r="P74" i="2"/>
  <c r="B48" i="7"/>
  <c r="B47" i="7"/>
  <c r="O25" i="2"/>
  <c r="O42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6" i="2"/>
  <c r="O70" i="2"/>
  <c r="O74" i="2"/>
  <c r="O80" i="2"/>
  <c r="B48" i="6"/>
  <c r="B47" i="6"/>
  <c r="N66" i="2"/>
  <c r="N70" i="2"/>
  <c r="N74" i="2"/>
  <c r="M25" i="2"/>
  <c r="M42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6" i="2"/>
  <c r="M70" i="2"/>
  <c r="M74" i="2"/>
  <c r="M80" i="2"/>
  <c r="B37" i="7"/>
  <c r="B37" i="6"/>
  <c r="L66" i="2"/>
  <c r="L70" i="2"/>
  <c r="L74" i="2"/>
  <c r="K25" i="2"/>
  <c r="K42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6" i="2"/>
  <c r="K70" i="2"/>
  <c r="K74" i="2"/>
  <c r="K80" i="2"/>
  <c r="B27" i="7"/>
  <c r="I14" i="2"/>
  <c r="I25" i="2"/>
  <c r="I42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6" i="2"/>
  <c r="I70" i="2"/>
  <c r="I74" i="2"/>
  <c r="I80" i="2"/>
  <c r="J66" i="2"/>
  <c r="J70" i="2"/>
  <c r="J74" i="2"/>
  <c r="B27" i="6"/>
  <c r="D72" i="7"/>
  <c r="D82" i="7"/>
  <c r="H81" i="7"/>
  <c r="F81" i="7"/>
  <c r="G81" i="7"/>
  <c r="H80" i="7"/>
  <c r="F80" i="7"/>
  <c r="H79" i="7"/>
  <c r="F79" i="7"/>
  <c r="H78" i="7"/>
  <c r="H77" i="7"/>
  <c r="H82" i="7"/>
  <c r="F78" i="7"/>
  <c r="G78" i="7"/>
  <c r="F77" i="7"/>
  <c r="G77" i="7"/>
  <c r="C77" i="7"/>
  <c r="H71" i="7"/>
  <c r="F71" i="7"/>
  <c r="G71" i="7"/>
  <c r="H70" i="7"/>
  <c r="F70" i="7"/>
  <c r="G70" i="7"/>
  <c r="H69" i="7"/>
  <c r="F69" i="7"/>
  <c r="G69" i="7"/>
  <c r="H68" i="7"/>
  <c r="F68" i="7"/>
  <c r="G68" i="7"/>
  <c r="H67" i="7"/>
  <c r="H72" i="7"/>
  <c r="F67" i="7"/>
  <c r="C67" i="7"/>
  <c r="G67" i="7"/>
  <c r="G72" i="7"/>
  <c r="G80" i="7"/>
  <c r="G79" i="7"/>
  <c r="G82" i="7"/>
  <c r="F72" i="7"/>
  <c r="E67" i="7"/>
  <c r="I70" i="7"/>
  <c r="J70" i="7"/>
  <c r="F82" i="7"/>
  <c r="E77" i="7"/>
  <c r="I81" i="7"/>
  <c r="J81" i="7"/>
  <c r="C67" i="6"/>
  <c r="F67" i="6"/>
  <c r="G67" i="6" s="1"/>
  <c r="G72" i="6" s="1"/>
  <c r="H67" i="6"/>
  <c r="F68" i="6"/>
  <c r="G68" i="6"/>
  <c r="H68" i="6"/>
  <c r="H72" i="6" s="1"/>
  <c r="F69" i="6"/>
  <c r="G69" i="6" s="1"/>
  <c r="H69" i="6"/>
  <c r="F70" i="6"/>
  <c r="G70" i="6"/>
  <c r="H70" i="6"/>
  <c r="F71" i="6"/>
  <c r="G71" i="6"/>
  <c r="H71" i="6"/>
  <c r="D72" i="6"/>
  <c r="C77" i="6"/>
  <c r="F77" i="6"/>
  <c r="G77" i="6"/>
  <c r="H77" i="6"/>
  <c r="F78" i="6"/>
  <c r="F82" i="6" s="1"/>
  <c r="E77" i="6" s="1"/>
  <c r="G78" i="6"/>
  <c r="G82" i="6" s="1"/>
  <c r="H78" i="6"/>
  <c r="H82" i="6" s="1"/>
  <c r="F79" i="6"/>
  <c r="G79" i="6"/>
  <c r="H79" i="6"/>
  <c r="F80" i="6"/>
  <c r="G80" i="6"/>
  <c r="H80" i="6"/>
  <c r="F81" i="6"/>
  <c r="I81" i="6" s="1"/>
  <c r="J81" i="6" s="1"/>
  <c r="G81" i="6"/>
  <c r="H81" i="6"/>
  <c r="D82" i="6"/>
  <c r="I67" i="7"/>
  <c r="I79" i="7"/>
  <c r="J79" i="7"/>
  <c r="I80" i="7"/>
  <c r="J80" i="7"/>
  <c r="I78" i="7"/>
  <c r="J78" i="7"/>
  <c r="I71" i="7"/>
  <c r="J71" i="7"/>
  <c r="I69" i="7"/>
  <c r="J69" i="7"/>
  <c r="I68" i="7"/>
  <c r="J68" i="7"/>
  <c r="I77" i="7"/>
  <c r="I82" i="7"/>
  <c r="J77" i="7"/>
  <c r="J82" i="7"/>
  <c r="I72" i="7"/>
  <c r="J67" i="7"/>
  <c r="J72" i="7"/>
  <c r="S86" i="2"/>
  <c r="R86" i="2"/>
  <c r="S83" i="2"/>
  <c r="R83" i="2"/>
  <c r="T83" i="2" s="1"/>
  <c r="S93" i="2"/>
  <c r="B4" i="4"/>
  <c r="B3" i="4"/>
  <c r="B2" i="4"/>
  <c r="B1" i="4"/>
  <c r="S96" i="2"/>
  <c r="S95" i="2"/>
  <c r="S92" i="2"/>
  <c r="S91" i="2"/>
  <c r="S90" i="2"/>
  <c r="T90" i="2" s="1"/>
  <c r="S89" i="2"/>
  <c r="S88" i="2"/>
  <c r="S87" i="2"/>
  <c r="S85" i="2"/>
  <c r="S84" i="2"/>
  <c r="S82" i="2"/>
  <c r="S81" i="2"/>
  <c r="S78" i="2"/>
  <c r="S77" i="2"/>
  <c r="S76" i="2"/>
  <c r="S75" i="2"/>
  <c r="S72" i="2"/>
  <c r="S71" i="2"/>
  <c r="S68" i="2"/>
  <c r="S67" i="2"/>
  <c r="S37" i="2"/>
  <c r="S36" i="2"/>
  <c r="S35" i="2"/>
  <c r="S34" i="2"/>
  <c r="S33" i="2"/>
  <c r="S32" i="2"/>
  <c r="S31" i="2"/>
  <c r="S30" i="2"/>
  <c r="S29" i="2"/>
  <c r="S28" i="2"/>
  <c r="S27" i="2"/>
  <c r="S26" i="2"/>
  <c r="S23" i="2"/>
  <c r="S22" i="2"/>
  <c r="S21" i="2"/>
  <c r="S20" i="2"/>
  <c r="S19" i="2"/>
  <c r="S18" i="2"/>
  <c r="S17" i="2"/>
  <c r="S15" i="2"/>
  <c r="R96" i="2"/>
  <c r="T96" i="2" s="1"/>
  <c r="R95" i="2"/>
  <c r="T95" i="2" s="1"/>
  <c r="R90" i="2"/>
  <c r="R89" i="2"/>
  <c r="R88" i="2"/>
  <c r="C17" i="4" s="1"/>
  <c r="R87" i="2"/>
  <c r="R85" i="2"/>
  <c r="R84" i="2"/>
  <c r="C19" i="4" s="1"/>
  <c r="R82" i="2"/>
  <c r="C20" i="4" s="1"/>
  <c r="R81" i="2"/>
  <c r="C14" i="4" s="1"/>
  <c r="R78" i="2"/>
  <c r="R77" i="2"/>
  <c r="R76" i="2"/>
  <c r="R75" i="2"/>
  <c r="R72" i="2"/>
  <c r="C12" i="4" s="1"/>
  <c r="R71" i="2"/>
  <c r="R68" i="2"/>
  <c r="T68" i="2" s="1"/>
  <c r="R67" i="2"/>
  <c r="C57" i="2"/>
  <c r="C58" i="2"/>
  <c r="C59" i="2"/>
  <c r="C60" i="2"/>
  <c r="C61" i="2"/>
  <c r="C62" i="2"/>
  <c r="C55" i="2"/>
  <c r="C54" i="2"/>
  <c r="C52" i="2"/>
  <c r="C51" i="2"/>
  <c r="C50" i="2"/>
  <c r="C49" i="2"/>
  <c r="C48" i="2"/>
  <c r="C47" i="2"/>
  <c r="C46" i="2"/>
  <c r="C45" i="2"/>
  <c r="C53" i="2"/>
  <c r="C42" i="2"/>
  <c r="C43" i="2"/>
  <c r="C44" i="2"/>
  <c r="C56" i="2"/>
  <c r="T77" i="2" l="1"/>
  <c r="T67" i="2"/>
  <c r="R66" i="2"/>
  <c r="C10" i="4" s="1"/>
  <c r="T89" i="2"/>
  <c r="T84" i="2"/>
  <c r="J18" i="2"/>
  <c r="L18" i="2" s="1"/>
  <c r="T75" i="2"/>
  <c r="T86" i="2"/>
  <c r="L21" i="2"/>
  <c r="J48" i="2"/>
  <c r="S70" i="2"/>
  <c r="J32" i="2"/>
  <c r="C57" i="7"/>
  <c r="H48" i="2"/>
  <c r="J60" i="2"/>
  <c r="S74" i="2"/>
  <c r="T74" i="2" s="1"/>
  <c r="R70" i="2"/>
  <c r="T70" i="2" s="1"/>
  <c r="S66" i="2"/>
  <c r="T87" i="2"/>
  <c r="S51" i="2"/>
  <c r="S42" i="2"/>
  <c r="H50" i="2"/>
  <c r="J26" i="2"/>
  <c r="I77" i="6"/>
  <c r="I78" i="6"/>
  <c r="J78" i="6" s="1"/>
  <c r="I80" i="6"/>
  <c r="J80" i="6" s="1"/>
  <c r="I79" i="6"/>
  <c r="J79" i="6" s="1"/>
  <c r="I68" i="6"/>
  <c r="J68" i="6" s="1"/>
  <c r="F72" i="6"/>
  <c r="E67" i="6" s="1"/>
  <c r="I69" i="6" s="1"/>
  <c r="J69" i="6" s="1"/>
  <c r="S80" i="2"/>
  <c r="N21" i="2"/>
  <c r="T78" i="2"/>
  <c r="T81" i="2"/>
  <c r="S59" i="2"/>
  <c r="T82" i="2"/>
  <c r="T72" i="2"/>
  <c r="F57" i="6"/>
  <c r="G57" i="6" s="1"/>
  <c r="H25" i="2"/>
  <c r="C22" i="4"/>
  <c r="T76" i="2"/>
  <c r="T88" i="2"/>
  <c r="C11" i="4"/>
  <c r="N91" i="2"/>
  <c r="H92" i="2"/>
  <c r="H80" i="2" s="1"/>
  <c r="J92" i="2"/>
  <c r="J91" i="2"/>
  <c r="J80" i="2" s="1"/>
  <c r="L91" i="2"/>
  <c r="F57" i="7"/>
  <c r="G57" i="7" s="1"/>
  <c r="H60" i="6"/>
  <c r="F58" i="6"/>
  <c r="G58" i="6" s="1"/>
  <c r="C47" i="6"/>
  <c r="H58" i="6"/>
  <c r="F51" i="7"/>
  <c r="G51" i="7" s="1"/>
  <c r="C21" i="4"/>
  <c r="F48" i="7"/>
  <c r="G48" i="7" s="1"/>
  <c r="H48" i="7"/>
  <c r="F50" i="7"/>
  <c r="G50" i="7" s="1"/>
  <c r="L62" i="2"/>
  <c r="N37" i="2"/>
  <c r="N33" i="2"/>
  <c r="L58" i="2"/>
  <c r="J52" i="2"/>
  <c r="L27" i="2"/>
  <c r="J44" i="2"/>
  <c r="L17" i="2"/>
  <c r="L54" i="2"/>
  <c r="N29" i="2"/>
  <c r="N22" i="2"/>
  <c r="L49" i="2"/>
  <c r="N20" i="2"/>
  <c r="L47" i="2"/>
  <c r="T66" i="2"/>
  <c r="N35" i="2"/>
  <c r="L60" i="2"/>
  <c r="J50" i="2"/>
  <c r="L23" i="2"/>
  <c r="L45" i="2"/>
  <c r="N18" i="2"/>
  <c r="N31" i="2"/>
  <c r="L56" i="2"/>
  <c r="J49" i="2"/>
  <c r="C16" i="4"/>
  <c r="J56" i="2"/>
  <c r="J47" i="2"/>
  <c r="L48" i="2"/>
  <c r="J19" i="2"/>
  <c r="J36" i="2"/>
  <c r="J34" i="2"/>
  <c r="J30" i="2"/>
  <c r="H61" i="6"/>
  <c r="H56" i="2"/>
  <c r="H14" i="2"/>
  <c r="J58" i="2"/>
  <c r="T71" i="2"/>
  <c r="H55" i="2"/>
  <c r="H47" i="2"/>
  <c r="T85" i="2"/>
  <c r="J62" i="2"/>
  <c r="J54" i="2"/>
  <c r="J45" i="2"/>
  <c r="H54" i="2"/>
  <c r="H46" i="2"/>
  <c r="S60" i="2"/>
  <c r="S52" i="2"/>
  <c r="S44" i="2"/>
  <c r="S54" i="2"/>
  <c r="F47" i="6"/>
  <c r="G47" i="6" s="1"/>
  <c r="F49" i="7"/>
  <c r="G49" i="7" s="1"/>
  <c r="F58" i="7"/>
  <c r="G58" i="7" s="1"/>
  <c r="H51" i="7"/>
  <c r="F47" i="7"/>
  <c r="H51" i="6"/>
  <c r="H50" i="7"/>
  <c r="F59" i="6"/>
  <c r="G59" i="6" s="1"/>
  <c r="H57" i="7"/>
  <c r="H47" i="7"/>
  <c r="C47" i="7"/>
  <c r="H59" i="6"/>
  <c r="H49" i="6"/>
  <c r="F51" i="6"/>
  <c r="G51" i="6" s="1"/>
  <c r="H48" i="6"/>
  <c r="F50" i="6"/>
  <c r="G50" i="6" s="1"/>
  <c r="H49" i="7"/>
  <c r="H57" i="6"/>
  <c r="H50" i="6"/>
  <c r="H47" i="6"/>
  <c r="F49" i="6"/>
  <c r="G49" i="6" s="1"/>
  <c r="H61" i="7"/>
  <c r="F61" i="7"/>
  <c r="G61" i="7" s="1"/>
  <c r="F48" i="6"/>
  <c r="G48" i="6" s="1"/>
  <c r="F61" i="6"/>
  <c r="G61" i="6" s="1"/>
  <c r="H60" i="7"/>
  <c r="F60" i="7"/>
  <c r="G60" i="7" s="1"/>
  <c r="F60" i="6"/>
  <c r="G60" i="6" s="1"/>
  <c r="H59" i="7"/>
  <c r="F59" i="7"/>
  <c r="G59" i="7" s="1"/>
  <c r="H58" i="7"/>
  <c r="S45" i="2"/>
  <c r="S48" i="2"/>
  <c r="S49" i="2"/>
  <c r="S50" i="2"/>
  <c r="S46" i="2"/>
  <c r="S47" i="2"/>
  <c r="S57" i="2"/>
  <c r="S61" i="2"/>
  <c r="S58" i="2"/>
  <c r="S62" i="2"/>
  <c r="S56" i="2"/>
  <c r="S25" i="2"/>
  <c r="S55" i="2"/>
  <c r="S53" i="2"/>
  <c r="I39" i="2"/>
  <c r="N28" i="2"/>
  <c r="L53" i="2"/>
  <c r="J53" i="2"/>
  <c r="M43" i="2"/>
  <c r="M41" i="2" s="1"/>
  <c r="M14" i="2"/>
  <c r="M39" i="2" s="1"/>
  <c r="I41" i="2"/>
  <c r="K14" i="2"/>
  <c r="K39" i="2" s="1"/>
  <c r="H43" i="2"/>
  <c r="J16" i="2"/>
  <c r="K43" i="2"/>
  <c r="K41" i="2" s="1"/>
  <c r="H42" i="2"/>
  <c r="L15" i="2"/>
  <c r="J42" i="2"/>
  <c r="B18" i="7"/>
  <c r="B18" i="6"/>
  <c r="B38" i="6"/>
  <c r="B38" i="7"/>
  <c r="C37" i="7" s="1"/>
  <c r="F27" i="6"/>
  <c r="H27" i="6"/>
  <c r="H31" i="6"/>
  <c r="F28" i="6"/>
  <c r="H28" i="6"/>
  <c r="F29" i="6"/>
  <c r="H30" i="6"/>
  <c r="C27" i="6"/>
  <c r="F30" i="6"/>
  <c r="H29" i="6"/>
  <c r="F31" i="6"/>
  <c r="B28" i="7"/>
  <c r="B17" i="7"/>
  <c r="L32" i="2" l="1"/>
  <c r="J57" i="2"/>
  <c r="I64" i="2"/>
  <c r="H39" i="2"/>
  <c r="L26" i="2"/>
  <c r="J51" i="2"/>
  <c r="I71" i="6"/>
  <c r="J71" i="6" s="1"/>
  <c r="I67" i="6"/>
  <c r="I70" i="6"/>
  <c r="J70" i="6" s="1"/>
  <c r="I82" i="6"/>
  <c r="J77" i="6"/>
  <c r="J82" i="6" s="1"/>
  <c r="C17" i="7"/>
  <c r="N48" i="2"/>
  <c r="P21" i="2"/>
  <c r="P48" i="2" s="1"/>
  <c r="L92" i="2"/>
  <c r="P91" i="2"/>
  <c r="L93" i="2"/>
  <c r="H41" i="2"/>
  <c r="P33" i="2"/>
  <c r="N58" i="2"/>
  <c r="J59" i="2"/>
  <c r="L34" i="2"/>
  <c r="J25" i="2"/>
  <c r="J61" i="2"/>
  <c r="L36" i="2"/>
  <c r="P29" i="2"/>
  <c r="P54" i="2" s="1"/>
  <c r="N54" i="2"/>
  <c r="J46" i="2"/>
  <c r="L19" i="2"/>
  <c r="P31" i="2"/>
  <c r="N56" i="2"/>
  <c r="P20" i="2"/>
  <c r="P47" i="2" s="1"/>
  <c r="N47" i="2"/>
  <c r="N27" i="2"/>
  <c r="L52" i="2"/>
  <c r="J55" i="2"/>
  <c r="L30" i="2"/>
  <c r="P22" i="2"/>
  <c r="P49" i="2" s="1"/>
  <c r="N49" i="2"/>
  <c r="R49" i="2" s="1"/>
  <c r="T49" i="2" s="1"/>
  <c r="N45" i="2"/>
  <c r="P18" i="2"/>
  <c r="N17" i="2"/>
  <c r="L44" i="2"/>
  <c r="P35" i="2"/>
  <c r="N60" i="2"/>
  <c r="P37" i="2"/>
  <c r="N62" i="2"/>
  <c r="H62" i="6"/>
  <c r="N23" i="2"/>
  <c r="L50" i="2"/>
  <c r="H62" i="7"/>
  <c r="G62" i="6"/>
  <c r="F52" i="7"/>
  <c r="G47" i="7"/>
  <c r="G52" i="7" s="1"/>
  <c r="G62" i="7"/>
  <c r="H52" i="7"/>
  <c r="F18" i="6"/>
  <c r="F17" i="6"/>
  <c r="F52" i="6"/>
  <c r="G52" i="6"/>
  <c r="H52" i="6"/>
  <c r="F62" i="6"/>
  <c r="F62" i="7"/>
  <c r="I98" i="2"/>
  <c r="P28" i="2"/>
  <c r="R28" i="2" s="1"/>
  <c r="T28" i="2" s="1"/>
  <c r="N53" i="2"/>
  <c r="M64" i="2"/>
  <c r="M98" i="2" s="1"/>
  <c r="M100" i="2" s="1"/>
  <c r="D37" i="7" s="1"/>
  <c r="D42" i="7" s="1"/>
  <c r="J43" i="2"/>
  <c r="L16" i="2"/>
  <c r="J14" i="2"/>
  <c r="K64" i="2"/>
  <c r="K98" i="2" s="1"/>
  <c r="K100" i="2" s="1"/>
  <c r="D27" i="7" s="1"/>
  <c r="D32" i="7" s="1"/>
  <c r="O14" i="2"/>
  <c r="O43" i="2"/>
  <c r="O41" i="2" s="1"/>
  <c r="L42" i="2"/>
  <c r="N15" i="2"/>
  <c r="G31" i="6"/>
  <c r="H32" i="6"/>
  <c r="G30" i="6"/>
  <c r="G27" i="6"/>
  <c r="F32" i="6"/>
  <c r="F37" i="7"/>
  <c r="H37" i="7"/>
  <c r="F38" i="7"/>
  <c r="H38" i="7"/>
  <c r="F39" i="7"/>
  <c r="F40" i="7"/>
  <c r="H39" i="7"/>
  <c r="F41" i="7"/>
  <c r="H41" i="7"/>
  <c r="H40" i="7"/>
  <c r="F40" i="6"/>
  <c r="H38" i="6"/>
  <c r="F39" i="6"/>
  <c r="F41" i="6"/>
  <c r="H39" i="6"/>
  <c r="C37" i="6"/>
  <c r="H40" i="6"/>
  <c r="F37" i="6"/>
  <c r="F38" i="6"/>
  <c r="H37" i="6"/>
  <c r="H41" i="6"/>
  <c r="G29" i="6"/>
  <c r="H20" i="6"/>
  <c r="H17" i="6"/>
  <c r="C17" i="6"/>
  <c r="F19" i="6"/>
  <c r="H21" i="6"/>
  <c r="F20" i="6"/>
  <c r="F21" i="6"/>
  <c r="H18" i="6"/>
  <c r="H19" i="6"/>
  <c r="H20" i="7"/>
  <c r="H21" i="7"/>
  <c r="H17" i="7"/>
  <c r="F17" i="7"/>
  <c r="F18" i="7"/>
  <c r="H18" i="7"/>
  <c r="F21" i="7"/>
  <c r="F19" i="7"/>
  <c r="F20" i="7"/>
  <c r="H19" i="7"/>
  <c r="F30" i="7"/>
  <c r="H29" i="7"/>
  <c r="H30" i="7"/>
  <c r="F29" i="7"/>
  <c r="F31" i="7"/>
  <c r="H27" i="7"/>
  <c r="H31" i="7"/>
  <c r="C27" i="7"/>
  <c r="F27" i="7"/>
  <c r="F28" i="7"/>
  <c r="H28" i="7"/>
  <c r="G28" i="6"/>
  <c r="R47" i="2" l="1"/>
  <c r="T47" i="2" s="1"/>
  <c r="R48" i="2"/>
  <c r="T48" i="2" s="1"/>
  <c r="R21" i="2"/>
  <c r="T21" i="2" s="1"/>
  <c r="L57" i="2"/>
  <c r="N32" i="2"/>
  <c r="H64" i="2"/>
  <c r="H98" i="2" s="1"/>
  <c r="L51" i="2"/>
  <c r="N26" i="2"/>
  <c r="J67" i="6"/>
  <c r="J72" i="6" s="1"/>
  <c r="I72" i="6"/>
  <c r="J39" i="2"/>
  <c r="R54" i="2"/>
  <c r="T54" i="2" s="1"/>
  <c r="L14" i="2"/>
  <c r="L80" i="2"/>
  <c r="N93" i="2"/>
  <c r="R91" i="2"/>
  <c r="T91" i="2" s="1"/>
  <c r="N92" i="2"/>
  <c r="R22" i="2"/>
  <c r="T22" i="2" s="1"/>
  <c r="L46" i="2"/>
  <c r="N19" i="2"/>
  <c r="R20" i="2"/>
  <c r="T20" i="2" s="1"/>
  <c r="L25" i="2"/>
  <c r="P62" i="2"/>
  <c r="R62" i="2" s="1"/>
  <c r="T62" i="2" s="1"/>
  <c r="R37" i="2"/>
  <c r="T37" i="2" s="1"/>
  <c r="N36" i="2"/>
  <c r="L61" i="2"/>
  <c r="P45" i="2"/>
  <c r="R45" i="2" s="1"/>
  <c r="T45" i="2" s="1"/>
  <c r="R18" i="2"/>
  <c r="T18" i="2" s="1"/>
  <c r="P56" i="2"/>
  <c r="R56" i="2" s="1"/>
  <c r="T56" i="2" s="1"/>
  <c r="R31" i="2"/>
  <c r="T31" i="2" s="1"/>
  <c r="N52" i="2"/>
  <c r="P27" i="2"/>
  <c r="P52" i="2" s="1"/>
  <c r="N50" i="2"/>
  <c r="P23" i="2"/>
  <c r="P50" i="2" s="1"/>
  <c r="R23" i="2"/>
  <c r="T23" i="2" s="1"/>
  <c r="P60" i="2"/>
  <c r="R60" i="2" s="1"/>
  <c r="T60" i="2" s="1"/>
  <c r="R35" i="2"/>
  <c r="T35" i="2" s="1"/>
  <c r="P58" i="2"/>
  <c r="R58" i="2" s="1"/>
  <c r="T58" i="2" s="1"/>
  <c r="R33" i="2"/>
  <c r="T33" i="2" s="1"/>
  <c r="N30" i="2"/>
  <c r="L55" i="2"/>
  <c r="R29" i="2"/>
  <c r="T29" i="2" s="1"/>
  <c r="N34" i="2"/>
  <c r="L59" i="2"/>
  <c r="N44" i="2"/>
  <c r="P17" i="2"/>
  <c r="P53" i="2"/>
  <c r="R53" i="2" s="1"/>
  <c r="T53" i="2" s="1"/>
  <c r="J41" i="2"/>
  <c r="L43" i="2"/>
  <c r="N16" i="2"/>
  <c r="O39" i="2"/>
  <c r="Q14" i="2"/>
  <c r="Q39" i="2" s="1"/>
  <c r="Q43" i="2"/>
  <c r="I100" i="2"/>
  <c r="S16" i="2"/>
  <c r="N42" i="2"/>
  <c r="P15" i="2"/>
  <c r="R15" i="2" s="1"/>
  <c r="T15" i="2" s="1"/>
  <c r="G29" i="7"/>
  <c r="G21" i="6"/>
  <c r="G41" i="7"/>
  <c r="G18" i="7"/>
  <c r="G20" i="6"/>
  <c r="G28" i="7"/>
  <c r="F22" i="7"/>
  <c r="G17" i="7"/>
  <c r="G41" i="6"/>
  <c r="G40" i="7"/>
  <c r="G32" i="6"/>
  <c r="F32" i="7"/>
  <c r="E27" i="7" s="1"/>
  <c r="I29" i="7" s="1"/>
  <c r="J29" i="7" s="1"/>
  <c r="G27" i="7"/>
  <c r="G30" i="7"/>
  <c r="H22" i="7"/>
  <c r="G19" i="6"/>
  <c r="G39" i="6"/>
  <c r="G39" i="7"/>
  <c r="G18" i="6"/>
  <c r="H42" i="6"/>
  <c r="G17" i="6"/>
  <c r="F22" i="6"/>
  <c r="G20" i="7"/>
  <c r="G38" i="6"/>
  <c r="G40" i="6"/>
  <c r="G38" i="7"/>
  <c r="H32" i="7"/>
  <c r="G19" i="7"/>
  <c r="H22" i="6"/>
  <c r="G37" i="6"/>
  <c r="F42" i="6"/>
  <c r="H42" i="7"/>
  <c r="G31" i="7"/>
  <c r="G21" i="7"/>
  <c r="G37" i="7"/>
  <c r="F42" i="7"/>
  <c r="E37" i="7" s="1"/>
  <c r="I41" i="7" s="1"/>
  <c r="J41" i="7" s="1"/>
  <c r="R50" i="2" l="1"/>
  <c r="T50" i="2" s="1"/>
  <c r="P32" i="2"/>
  <c r="P57" i="2" s="1"/>
  <c r="N57" i="2"/>
  <c r="J64" i="2"/>
  <c r="J98" i="2" s="1"/>
  <c r="J100" i="2" s="1"/>
  <c r="D27" i="6" s="1"/>
  <c r="D32" i="6" s="1"/>
  <c r="L39" i="2"/>
  <c r="N51" i="2"/>
  <c r="P26" i="2"/>
  <c r="P51" i="2" s="1"/>
  <c r="R52" i="2"/>
  <c r="T52" i="2" s="1"/>
  <c r="R27" i="2"/>
  <c r="T27" i="2" s="1"/>
  <c r="P92" i="2"/>
  <c r="R92" i="2" s="1"/>
  <c r="N80" i="2"/>
  <c r="P93" i="2"/>
  <c r="R93" i="2" s="1"/>
  <c r="T93" i="2" s="1"/>
  <c r="P34" i="2"/>
  <c r="P59" i="2" s="1"/>
  <c r="N59" i="2"/>
  <c r="R34" i="2"/>
  <c r="T34" i="2" s="1"/>
  <c r="P30" i="2"/>
  <c r="N55" i="2"/>
  <c r="N25" i="2"/>
  <c r="P44" i="2"/>
  <c r="R44" i="2" s="1"/>
  <c r="T44" i="2" s="1"/>
  <c r="R17" i="2"/>
  <c r="T17" i="2" s="1"/>
  <c r="N46" i="2"/>
  <c r="P19" i="2"/>
  <c r="P46" i="2" s="1"/>
  <c r="N61" i="2"/>
  <c r="P36" i="2"/>
  <c r="G42" i="7"/>
  <c r="G22" i="6"/>
  <c r="I38" i="7"/>
  <c r="J38" i="7" s="1"/>
  <c r="I30" i="7"/>
  <c r="J30" i="7" s="1"/>
  <c r="N43" i="2"/>
  <c r="P16" i="2"/>
  <c r="L41" i="2"/>
  <c r="I39" i="7"/>
  <c r="J39" i="7" s="1"/>
  <c r="I27" i="7"/>
  <c r="J27" i="7" s="1"/>
  <c r="N14" i="2"/>
  <c r="D17" i="7"/>
  <c r="D22" i="7" s="1"/>
  <c r="Q41" i="2"/>
  <c r="S41" i="2" s="1"/>
  <c r="S43" i="2"/>
  <c r="I37" i="7"/>
  <c r="J37" i="7" s="1"/>
  <c r="S14" i="2"/>
  <c r="I31" i="7"/>
  <c r="J31" i="7" s="1"/>
  <c r="O64" i="2"/>
  <c r="S39" i="2"/>
  <c r="P42" i="2"/>
  <c r="H100" i="2"/>
  <c r="G22" i="7"/>
  <c r="G42" i="6"/>
  <c r="I40" i="7"/>
  <c r="J40" i="7" s="1"/>
  <c r="I28" i="7"/>
  <c r="J28" i="7" s="1"/>
  <c r="G32" i="7"/>
  <c r="R57" i="2" l="1"/>
  <c r="T57" i="2" s="1"/>
  <c r="R46" i="2"/>
  <c r="T46" i="2" s="1"/>
  <c r="R32" i="2"/>
  <c r="T32" i="2" s="1"/>
  <c r="L64" i="2"/>
  <c r="R26" i="2"/>
  <c r="T26" i="2" s="1"/>
  <c r="E27" i="6"/>
  <c r="I31" i="6" s="1"/>
  <c r="J31" i="6" s="1"/>
  <c r="R51" i="2"/>
  <c r="T51" i="2" s="1"/>
  <c r="C13" i="4"/>
  <c r="T92" i="2"/>
  <c r="P80" i="2"/>
  <c r="R80" i="2" s="1"/>
  <c r="T80" i="2" s="1"/>
  <c r="P61" i="2"/>
  <c r="R61" i="2" s="1"/>
  <c r="T61" i="2" s="1"/>
  <c r="R36" i="2"/>
  <c r="T36" i="2" s="1"/>
  <c r="P55" i="2"/>
  <c r="R55" i="2" s="1"/>
  <c r="T55" i="2" s="1"/>
  <c r="P25" i="2"/>
  <c r="R25" i="2" s="1"/>
  <c r="T25" i="2" s="1"/>
  <c r="R30" i="2"/>
  <c r="T30" i="2" s="1"/>
  <c r="R59" i="2"/>
  <c r="T59" i="2" s="1"/>
  <c r="N39" i="2"/>
  <c r="R19" i="2"/>
  <c r="T19" i="2" s="1"/>
  <c r="E17" i="7"/>
  <c r="I20" i="7" s="1"/>
  <c r="J20" i="7" s="1"/>
  <c r="I32" i="7"/>
  <c r="P43" i="2"/>
  <c r="R43" i="2" s="1"/>
  <c r="T43" i="2" s="1"/>
  <c r="R16" i="2"/>
  <c r="T16" i="2" s="1"/>
  <c r="I42" i="7"/>
  <c r="Q64" i="2"/>
  <c r="Q98" i="2" s="1"/>
  <c r="N41" i="2"/>
  <c r="N64" i="2" s="1"/>
  <c r="N98" i="2" s="1"/>
  <c r="O98" i="2"/>
  <c r="P14" i="2"/>
  <c r="L98" i="2"/>
  <c r="R42" i="2"/>
  <c r="T42" i="2" s="1"/>
  <c r="D17" i="6"/>
  <c r="J32" i="7"/>
  <c r="J42" i="7"/>
  <c r="I28" i="6" l="1"/>
  <c r="J28" i="6" s="1"/>
  <c r="I30" i="6"/>
  <c r="J30" i="6" s="1"/>
  <c r="I27" i="6"/>
  <c r="J27" i="6" s="1"/>
  <c r="I29" i="6"/>
  <c r="J29" i="6" s="1"/>
  <c r="P39" i="2"/>
  <c r="M103" i="2"/>
  <c r="M107" i="2" s="1"/>
  <c r="K103" i="2"/>
  <c r="K107" i="2" s="1"/>
  <c r="R39" i="2"/>
  <c r="C8" i="4" s="1"/>
  <c r="I18" i="7"/>
  <c r="J18" i="7" s="1"/>
  <c r="I21" i="7"/>
  <c r="J21" i="7" s="1"/>
  <c r="I19" i="7"/>
  <c r="J19" i="7" s="1"/>
  <c r="I17" i="7"/>
  <c r="J17" i="7" s="1"/>
  <c r="S64" i="2"/>
  <c r="O100" i="2"/>
  <c r="S98" i="2"/>
  <c r="P41" i="2"/>
  <c r="R14" i="2"/>
  <c r="T14" i="2" s="1"/>
  <c r="Q100" i="2"/>
  <c r="D57" i="7" s="1"/>
  <c r="N100" i="2"/>
  <c r="D47" i="6" s="1"/>
  <c r="D22" i="6"/>
  <c r="E17" i="6"/>
  <c r="L100" i="2"/>
  <c r="J32" i="6" l="1"/>
  <c r="I32" i="6"/>
  <c r="J103" i="2"/>
  <c r="J107" i="2" s="1"/>
  <c r="T39" i="2"/>
  <c r="J22" i="7"/>
  <c r="I22" i="7"/>
  <c r="R41" i="2"/>
  <c r="P64" i="2"/>
  <c r="E57" i="7"/>
  <c r="D62" i="7"/>
  <c r="D47" i="7"/>
  <c r="S100" i="2"/>
  <c r="D37" i="6"/>
  <c r="E47" i="6"/>
  <c r="D52" i="6"/>
  <c r="I19" i="6"/>
  <c r="J19" i="6" s="1"/>
  <c r="I21" i="6"/>
  <c r="J21" i="6" s="1"/>
  <c r="I18" i="6"/>
  <c r="J18" i="6" s="1"/>
  <c r="I20" i="6"/>
  <c r="J20" i="6" s="1"/>
  <c r="I17" i="6"/>
  <c r="I103" i="2" l="1"/>
  <c r="I107" i="2" s="1"/>
  <c r="E47" i="7"/>
  <c r="D52" i="7"/>
  <c r="D12" i="7" s="1"/>
  <c r="I58" i="7"/>
  <c r="J58" i="7" s="1"/>
  <c r="I57" i="7"/>
  <c r="I61" i="7"/>
  <c r="J61" i="7" s="1"/>
  <c r="I59" i="7"/>
  <c r="J59" i="7" s="1"/>
  <c r="I60" i="7"/>
  <c r="J60" i="7" s="1"/>
  <c r="P98" i="2"/>
  <c r="R64" i="2"/>
  <c r="T64" i="2" s="1"/>
  <c r="C9" i="4"/>
  <c r="C23" i="4" s="1"/>
  <c r="T41" i="2"/>
  <c r="I48" i="6"/>
  <c r="J48" i="6" s="1"/>
  <c r="I51" i="6"/>
  <c r="J51" i="6" s="1"/>
  <c r="I49" i="6"/>
  <c r="J49" i="6" s="1"/>
  <c r="I50" i="6"/>
  <c r="J50" i="6" s="1"/>
  <c r="I47" i="6"/>
  <c r="I22" i="6"/>
  <c r="J17" i="6"/>
  <c r="J22" i="6" s="1"/>
  <c r="D42" i="6"/>
  <c r="E37" i="6"/>
  <c r="P100" i="2" l="1"/>
  <c r="R98" i="2"/>
  <c r="T98" i="2" s="1"/>
  <c r="J57" i="7"/>
  <c r="J62" i="7" s="1"/>
  <c r="I62" i="7"/>
  <c r="I49" i="7"/>
  <c r="J49" i="7" s="1"/>
  <c r="I47" i="7"/>
  <c r="I48" i="7"/>
  <c r="J48" i="7" s="1"/>
  <c r="I50" i="7"/>
  <c r="J50" i="7" s="1"/>
  <c r="I51" i="7"/>
  <c r="J51" i="7" s="1"/>
  <c r="I41" i="6"/>
  <c r="J41" i="6" s="1"/>
  <c r="I39" i="6"/>
  <c r="J39" i="6" s="1"/>
  <c r="I37" i="6"/>
  <c r="I40" i="6"/>
  <c r="J40" i="6" s="1"/>
  <c r="I38" i="6"/>
  <c r="J38" i="6" s="1"/>
  <c r="I52" i="6"/>
  <c r="J47" i="6"/>
  <c r="J52" i="6" s="1"/>
  <c r="Q103" i="2" l="1"/>
  <c r="Q107" i="2" s="1"/>
  <c r="N103" i="2"/>
  <c r="N107" i="2" s="1"/>
  <c r="I52" i="7"/>
  <c r="J47" i="7"/>
  <c r="J52" i="7" s="1"/>
  <c r="D57" i="6"/>
  <c r="R100" i="2"/>
  <c r="T100" i="2" s="1"/>
  <c r="H103" i="2"/>
  <c r="J37" i="6"/>
  <c r="J42" i="6" s="1"/>
  <c r="I42" i="6"/>
  <c r="D62" i="6" l="1"/>
  <c r="D12" i="6" s="1"/>
  <c r="E57" i="6"/>
  <c r="I12" i="7"/>
  <c r="H107" i="2"/>
  <c r="O103" i="2" l="1"/>
  <c r="S104" i="2"/>
  <c r="I60" i="6"/>
  <c r="J60" i="6" s="1"/>
  <c r="I57" i="6"/>
  <c r="I61" i="6"/>
  <c r="J61" i="6" s="1"/>
  <c r="I59" i="6"/>
  <c r="J59" i="6" s="1"/>
  <c r="I58" i="6"/>
  <c r="J58" i="6" s="1"/>
  <c r="L103" i="2"/>
  <c r="I62" i="6" l="1"/>
  <c r="J57" i="6"/>
  <c r="J62" i="6" s="1"/>
  <c r="O107" i="2"/>
  <c r="S107" i="2" s="1"/>
  <c r="S103" i="2"/>
  <c r="L107" i="2"/>
  <c r="I12" i="6" l="1"/>
  <c r="P103" i="2" l="1"/>
  <c r="C24" i="4" l="1"/>
  <c r="C25" i="4" s="1"/>
  <c r="T104" i="2"/>
  <c r="P107" i="2"/>
  <c r="T107" i="2" s="1"/>
  <c r="T103" i="2"/>
</calcChain>
</file>

<file path=xl/comments1.xml><?xml version="1.0" encoding="utf-8"?>
<comments xmlns="http://schemas.openxmlformats.org/spreadsheetml/2006/main">
  <authors>
    <author>Sara Jane Oftelie</author>
    <author>Rich, Andrea K [S P]</author>
  </authors>
  <commentList>
    <comment ref="H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1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2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2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</text>
    </comment>
    <comment ref="L92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2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2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3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3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</text>
    </comment>
    <comment ref="L93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3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3" authorId="0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4" authorId="1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</text>
    </comment>
    <comment ref="J94" authorId="1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4" authorId="1" shapeId="0">
      <text>
        <r>
          <rPr>
            <b/>
            <sz val="9"/>
            <color indexed="81"/>
            <rFont val="Tahoma"/>
            <family val="2"/>
          </rPr>
          <t xml:space="preserve">Please DO NOT type in this space - it will autofill from the TUITION sheet after you make your selections
</t>
        </r>
      </text>
    </comment>
    <comment ref="N94" authorId="1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4" authorId="1" shapeId="0">
      <text>
        <r>
          <rPr>
            <b/>
            <sz val="9"/>
            <color indexed="81"/>
            <rFont val="Tahoma"/>
            <family val="2"/>
          </rPr>
          <t>Please DO NOT type in this space - it will autofill from the TUITION sheet after you make your selections.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<sst xmlns="http://schemas.openxmlformats.org/spreadsheetml/2006/main" count="844" uniqueCount="238">
  <si>
    <t>Program Sponsor</t>
  </si>
  <si>
    <t>Title</t>
  </si>
  <si>
    <t>PI</t>
  </si>
  <si>
    <t>Period of Performance</t>
  </si>
  <si>
    <t>Deadline</t>
  </si>
  <si>
    <t>Year 1</t>
  </si>
  <si>
    <t>Salary</t>
  </si>
  <si>
    <t>Summer</t>
  </si>
  <si>
    <t>A</t>
  </si>
  <si>
    <t>Key Personnel</t>
  </si>
  <si>
    <t>Monthly</t>
  </si>
  <si>
    <t>Months</t>
  </si>
  <si>
    <t>Calendar</t>
  </si>
  <si>
    <t>Number of</t>
  </si>
  <si>
    <t>B</t>
  </si>
  <si>
    <t>Other Personnel</t>
  </si>
  <si>
    <t>Post Doc</t>
  </si>
  <si>
    <t>Research Asst-Halftime</t>
  </si>
  <si>
    <t>Hourly Undergraduate student</t>
  </si>
  <si>
    <t>Subtotal: Salaries and Wages</t>
  </si>
  <si>
    <t>C</t>
  </si>
  <si>
    <t>Fringe Benefits</t>
  </si>
  <si>
    <t>Rate</t>
  </si>
  <si>
    <t>Subtotal: Salaries, Wages, and Benefits</t>
  </si>
  <si>
    <t>D</t>
  </si>
  <si>
    <t>E</t>
  </si>
  <si>
    <t>Travel</t>
  </si>
  <si>
    <t>1. Domestic Travel</t>
  </si>
  <si>
    <t>2. Foreign Travel</t>
  </si>
  <si>
    <t>F</t>
  </si>
  <si>
    <t>Participant Support Cost</t>
  </si>
  <si>
    <t>1. Stipend</t>
  </si>
  <si>
    <t>2. Travel</t>
  </si>
  <si>
    <t>G</t>
  </si>
  <si>
    <t>Other Direct Costs</t>
  </si>
  <si>
    <t>Subtotal: Total Direct Costs (TDC)</t>
  </si>
  <si>
    <t>[ MTDC = TDC - Tuition - Equipment - Participant Support Cost ]</t>
  </si>
  <si>
    <t>H</t>
  </si>
  <si>
    <t>Indirect Costs</t>
  </si>
  <si>
    <t>IDC on MTDC</t>
  </si>
  <si>
    <t>[ IDC = MTDC * Indirect Rate ]</t>
  </si>
  <si>
    <t>I</t>
  </si>
  <si>
    <t>Spring</t>
  </si>
  <si>
    <t>Subtotal: Modified Total Direct Costs</t>
  </si>
  <si>
    <t>Year 2</t>
  </si>
  <si>
    <t>Materials and Supplies</t>
  </si>
  <si>
    <t>Publication cost</t>
  </si>
  <si>
    <t>Computing support</t>
  </si>
  <si>
    <t>Year 5</t>
  </si>
  <si>
    <t>Year 4</t>
  </si>
  <si>
    <t>Year 3</t>
  </si>
  <si>
    <t>select 1/4-time/1/2-time &gt; &gt;</t>
  </si>
  <si>
    <t>1/2-time</t>
  </si>
  <si>
    <t>Graduate Student Tuition</t>
  </si>
  <si>
    <t>Maximum</t>
  </si>
  <si>
    <t>Minimum</t>
  </si>
  <si>
    <t>Fall</t>
  </si>
  <si>
    <t>Funds Requested</t>
  </si>
  <si>
    <t>Masters - Min</t>
  </si>
  <si>
    <t>Masters-Max</t>
  </si>
  <si>
    <t>PhD - Min</t>
  </si>
  <si>
    <t>PhD - Max</t>
  </si>
  <si>
    <t>esc. Rate</t>
  </si>
  <si>
    <t>1/4-time</t>
  </si>
  <si>
    <t>Fall 2017</t>
  </si>
  <si>
    <t>Fall 2018</t>
  </si>
  <si>
    <t>Spring 2017</t>
  </si>
  <si>
    <t>Spring 2018</t>
  </si>
  <si>
    <t>Summer 2017</t>
  </si>
  <si>
    <t>Summer 2018</t>
  </si>
  <si>
    <t>3. Subsistence</t>
  </si>
  <si>
    <t>4. Other</t>
  </si>
  <si>
    <t>A&amp;B</t>
  </si>
  <si>
    <t>P</t>
  </si>
  <si>
    <t>XH (Student hourly)</t>
  </si>
  <si>
    <t>XH (Non-Student hourly)</t>
  </si>
  <si>
    <r>
      <t xml:space="preserve">Equipment </t>
    </r>
    <r>
      <rPr>
        <b/>
        <sz val="10"/>
        <rFont val="Arial"/>
        <family val="2"/>
      </rPr>
      <t xml:space="preserve">(List Item and $ amount for each item </t>
    </r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 xml:space="preserve"> $5k)</t>
    </r>
  </si>
  <si>
    <t>Other</t>
  </si>
  <si>
    <t>See notes below</t>
  </si>
  <si>
    <t>(Click on "Tuition" sheet)</t>
  </si>
  <si>
    <r>
      <rPr>
        <b/>
        <u/>
        <sz val="10"/>
        <color indexed="10"/>
        <rFont val="Arial"/>
        <family val="2"/>
      </rPr>
      <t>NOTES</t>
    </r>
    <r>
      <rPr>
        <b/>
        <sz val="10"/>
        <color indexed="10"/>
        <rFont val="Arial"/>
        <family val="2"/>
      </rPr>
      <t>:</t>
    </r>
  </si>
  <si>
    <r>
      <rPr>
        <b/>
        <u/>
        <sz val="10"/>
        <color indexed="10"/>
        <rFont val="Arial"/>
        <family val="2"/>
      </rPr>
      <t>Benefits</t>
    </r>
    <r>
      <rPr>
        <b/>
        <sz val="10"/>
        <color indexed="10"/>
        <rFont val="Arial"/>
        <family val="2"/>
      </rPr>
      <t>:</t>
    </r>
  </si>
  <si>
    <t xml:space="preserve">           Tuition Costs</t>
  </si>
  <si>
    <t>Project Budget Worksheet - Iowa State University of Science and Technology</t>
  </si>
  <si>
    <t>NOT subject to IDC (Amount over $25,000)</t>
  </si>
  <si>
    <t>Subcontractor2 - Subject to IDC (first $25,000)</t>
  </si>
  <si>
    <t>Subcontractor1 - Subject to IDC (first $25,000)</t>
  </si>
  <si>
    <t>Post Doc Salary Range:</t>
  </si>
  <si>
    <t>This budget is completely adjustable.  As such, you will need to double check your work and make adjustments in certain cells, such as:</t>
  </si>
  <si>
    <r>
      <rPr>
        <b/>
        <u/>
        <sz val="10"/>
        <color indexed="10"/>
        <rFont val="Arial"/>
        <family val="2"/>
      </rPr>
      <t>Subcontracts</t>
    </r>
    <r>
      <rPr>
        <b/>
        <sz val="10"/>
        <color indexed="10"/>
        <rFont val="Arial"/>
        <family val="2"/>
      </rPr>
      <t xml:space="preserve"> - Verify that only the first $25K of each subcontract is charged IDC.  You might need to adjust the MTDC for each year of each subcontract.</t>
    </r>
  </si>
  <si>
    <t>persons</t>
  </si>
  <si>
    <t>Secretarial/Clerical</t>
  </si>
  <si>
    <t>Non-Student Hourly</t>
  </si>
  <si>
    <t>P&amp;S</t>
  </si>
  <si>
    <t>Academic</t>
  </si>
  <si>
    <t>Federal Funds Requested</t>
  </si>
  <si>
    <t>Cost-Shared  Matching Funds</t>
  </si>
  <si>
    <t>Total Federal Funds</t>
  </si>
  <si>
    <t>Total Cost-Shared Matching Funds</t>
  </si>
  <si>
    <t>Total Project Funds</t>
  </si>
  <si>
    <t>Total Direct + Indirect Costs</t>
  </si>
  <si>
    <t>Indirect Cost Categories:</t>
  </si>
  <si>
    <t>On-Campus Organized Research</t>
  </si>
  <si>
    <t>On Campus Instruction</t>
  </si>
  <si>
    <t>On-Campus Other Sponsored Activities</t>
  </si>
  <si>
    <t>Off-Campus All Programs</t>
  </si>
  <si>
    <t>Sponsor:</t>
  </si>
  <si>
    <t xml:space="preserve">Title: </t>
  </si>
  <si>
    <t xml:space="preserve">PI Name: </t>
  </si>
  <si>
    <t>Period of Performance:</t>
  </si>
  <si>
    <t>Account Number:</t>
  </si>
  <si>
    <t>Budget Categories</t>
  </si>
  <si>
    <t>Budget Code</t>
  </si>
  <si>
    <t>Amount</t>
  </si>
  <si>
    <t>Salary/Hourly</t>
  </si>
  <si>
    <t>0108</t>
  </si>
  <si>
    <t>Payroll Benefits</t>
  </si>
  <si>
    <t>0130</t>
  </si>
  <si>
    <t>Equipment</t>
  </si>
  <si>
    <t>0710</t>
  </si>
  <si>
    <t>Travel Domestic</t>
  </si>
  <si>
    <t>0215</t>
  </si>
  <si>
    <t>Travel Foreign</t>
  </si>
  <si>
    <t>0216</t>
  </si>
  <si>
    <t>Student Tuition</t>
  </si>
  <si>
    <t>0610</t>
  </si>
  <si>
    <t>Supplies</t>
  </si>
  <si>
    <t>0410</t>
  </si>
  <si>
    <t>Subcontracts</t>
  </si>
  <si>
    <t>Subject to IDC</t>
  </si>
  <si>
    <t>0396</t>
  </si>
  <si>
    <t>Not Subejct to IDC</t>
  </si>
  <si>
    <t>0376</t>
  </si>
  <si>
    <t>Computer Usage</t>
  </si>
  <si>
    <t>0353</t>
  </si>
  <si>
    <t>Printing/Copying</t>
  </si>
  <si>
    <t>0373</t>
  </si>
  <si>
    <t>Services/Honoraria</t>
  </si>
  <si>
    <t>0302</t>
  </si>
  <si>
    <t xml:space="preserve">Other  </t>
  </si>
  <si>
    <t>0630</t>
  </si>
  <si>
    <t>Total Direct Costs</t>
  </si>
  <si>
    <t>0642</t>
  </si>
  <si>
    <t>Total Costs</t>
  </si>
  <si>
    <t>Fall 2019</t>
  </si>
  <si>
    <t>Spring 2019</t>
  </si>
  <si>
    <t>Summer 2019</t>
  </si>
  <si>
    <t>Business and STB Students Only</t>
  </si>
  <si>
    <t>Fall 2020</t>
  </si>
  <si>
    <t>Fall 2021</t>
  </si>
  <si>
    <t>Spring 2020</t>
  </si>
  <si>
    <t>Spring 2021</t>
  </si>
  <si>
    <t>Summer 2020</t>
  </si>
  <si>
    <t>Summer 2021</t>
  </si>
  <si>
    <t>Engineering &amp; Architecture students</t>
  </si>
  <si>
    <t>Business &amp; STB</t>
  </si>
  <si>
    <r>
      <t xml:space="preserve">Graduate Student Tuition </t>
    </r>
    <r>
      <rPr>
        <b/>
        <sz val="12"/>
        <rFont val="Arial"/>
        <family val="2"/>
      </rPr>
      <t>(Business &amp; STB)</t>
    </r>
  </si>
  <si>
    <t>Engineering &amp; Architecture Students Only</t>
  </si>
  <si>
    <r>
      <t xml:space="preserve">Graduate Student Tuition </t>
    </r>
    <r>
      <rPr>
        <b/>
        <sz val="12"/>
        <rFont val="Arial"/>
        <family val="2"/>
      </rPr>
      <t>(Engineering &amp; Architecture)</t>
    </r>
  </si>
  <si>
    <r>
      <t xml:space="preserve">Graduate Student Tuition </t>
    </r>
    <r>
      <rPr>
        <b/>
        <sz val="12"/>
        <rFont val="Arial"/>
        <family val="2"/>
      </rPr>
      <t>(most Majors)</t>
    </r>
  </si>
  <si>
    <t>Graduate Student Tuition (most majors)</t>
  </si>
  <si>
    <t xml:space="preserve">Tuition-Engineering &amp; Architecture </t>
  </si>
  <si>
    <t>Tuition-Business &amp; STB</t>
  </si>
  <si>
    <t>Tuition-(most majors)</t>
  </si>
  <si>
    <t>Spring 2022</t>
  </si>
  <si>
    <t>Consultant/Professional Services</t>
  </si>
  <si>
    <t>Equipment/Facility Rental or User Fee</t>
  </si>
  <si>
    <t>Fall 2022</t>
  </si>
  <si>
    <t>Summer 2022</t>
  </si>
  <si>
    <t>Spring 2023</t>
  </si>
  <si>
    <t>Alterations and Renovations (not included in MTDC)</t>
  </si>
  <si>
    <t>Fall 2023</t>
  </si>
  <si>
    <t>Spring 2024</t>
  </si>
  <si>
    <t>Summer 2023</t>
  </si>
  <si>
    <t xml:space="preserve"> </t>
  </si>
  <si>
    <t>http://www.grad-college.iastate.edu/post_doc/policies.php</t>
  </si>
  <si>
    <t>Use Rate</t>
  </si>
  <si>
    <t>Totals:</t>
  </si>
  <si>
    <t>Project End Date</t>
  </si>
  <si>
    <t>Project Start Date</t>
  </si>
  <si>
    <t>MTDC Amount</t>
  </si>
  <si>
    <t>F&amp;A Amount</t>
  </si>
  <si>
    <t>Months at Rate</t>
  </si>
  <si>
    <t>Days at Rate</t>
  </si>
  <si>
    <t>MTDC Daily Rate</t>
  </si>
  <si>
    <t>Total MTDC for the Period</t>
  </si>
  <si>
    <t>Total # Months</t>
  </si>
  <si>
    <t>Dates:</t>
  </si>
  <si>
    <t>Calculated</t>
  </si>
  <si>
    <t>Enter Amount:</t>
  </si>
  <si>
    <t>Enter</t>
  </si>
  <si>
    <t>7th Budget Period</t>
  </si>
  <si>
    <t>6th Budget Period</t>
  </si>
  <si>
    <t>5th Budget Period</t>
  </si>
  <si>
    <t>4th Budget Period</t>
  </si>
  <si>
    <t>3rd Budget Period</t>
  </si>
  <si>
    <t>2nd Budget Period</t>
  </si>
  <si>
    <t>F&amp;A Rate %</t>
  </si>
  <si>
    <t>F&amp;A Rate End</t>
  </si>
  <si>
    <t>Use F&amp;A Rate Effective Date</t>
  </si>
  <si>
    <t>Reference Only 
Rate Table:</t>
  </si>
  <si>
    <t>1st Budget Period</t>
  </si>
  <si>
    <t>PROJECT GRAND TOTALS:</t>
  </si>
  <si>
    <t>Total F&amp;A</t>
  </si>
  <si>
    <t>Total MTDC</t>
  </si>
  <si>
    <t>This tool is set up to accommodate up to 7 separate Project Budget periods and will provide a Grand Total of all budget periods.</t>
  </si>
  <si>
    <r>
      <t xml:space="preserve">See the job aid: </t>
    </r>
    <r>
      <rPr>
        <b/>
        <sz val="10"/>
        <rFont val="Arial"/>
        <family val="2"/>
      </rPr>
      <t>Setting up F&amp;A on a Project Using Split Rates</t>
    </r>
  </si>
  <si>
    <t>Please be aware that if your Project period Start and End dates span multiple F&amp;A effective dates, you will need to add the additional effective dates and rates to the Project Activity&gt;FA Rates tab in EFS.</t>
  </si>
  <si>
    <r>
      <t xml:space="preserve">The only fields needed are the </t>
    </r>
    <r>
      <rPr>
        <b/>
        <sz val="10"/>
        <rFont val="Arial"/>
        <family val="2"/>
      </rPr>
      <t>Start Date, End Date</t>
    </r>
    <r>
      <rPr>
        <sz val="10"/>
        <rFont val="Arial"/>
        <family val="2"/>
      </rPr>
      <t xml:space="preserve">, and the </t>
    </r>
    <r>
      <rPr>
        <b/>
        <sz val="10"/>
        <rFont val="Arial"/>
        <family val="2"/>
      </rPr>
      <t>Modified Total Direct Cost Amount</t>
    </r>
    <r>
      <rPr>
        <sz val="10"/>
        <rFont val="Arial"/>
        <family val="2"/>
      </rPr>
      <t>. This tool will calculate the F&amp;A rate and amount based on the reference table shown.</t>
    </r>
  </si>
  <si>
    <t>Use this tool to help you calculate split F&amp;A for budgeting purposes. By entering the Project Budget amount, and start and end dates, this tool will calculate the correct F&amp;A rate for the period.</t>
  </si>
  <si>
    <t>INSTRUCTIONS:</t>
  </si>
  <si>
    <t>Tool to Calculate Split F&amp;A Rates for a Project Period</t>
  </si>
  <si>
    <t>Start Date</t>
  </si>
  <si>
    <t>End Date</t>
  </si>
  <si>
    <t xml:space="preserve">Start Date </t>
  </si>
  <si>
    <t xml:space="preserve">Enter other rate (if needed): </t>
  </si>
  <si>
    <t xml:space="preserve">Enter Start Date: </t>
  </si>
  <si>
    <t xml:space="preserve">Select calculation type: </t>
  </si>
  <si>
    <t>Negotiated Rate</t>
  </si>
  <si>
    <t>Other TDC</t>
  </si>
  <si>
    <t>Other MTDC</t>
  </si>
  <si>
    <t>Eff. 7/1/2017</t>
  </si>
  <si>
    <t>Start Date must be entered for each budget</t>
  </si>
  <si>
    <t>This budget is completely adjustable.  You will need to double check your work and make adjustments in certain cells, such as:</t>
  </si>
  <si>
    <t>Subcontracts - Verify that only the first $25K of each subcontract is charged IDC.  You might need to adjust the MTDC for each year of each subcontract.</t>
  </si>
  <si>
    <t xml:space="preserve">Indirect costs- Budget defaults to caculate on 52% MTDC and 53% MTDC, with precise rate in on "F&amp;A Calculations" sheet. </t>
  </si>
  <si>
    <t xml:space="preserve">   To use a rate other than organized research, please enter rate in 'Enter Other Rate' cell and  select 'Other TDC' or 'Other MTDC' in dropdown.</t>
  </si>
  <si>
    <r>
      <t>Masters Students</t>
    </r>
    <r>
      <rPr>
        <sz val="10"/>
        <rFont val="Arial"/>
        <family val="2"/>
      </rPr>
      <t xml:space="preserve"> (enter no. of students per term)</t>
    </r>
  </si>
  <si>
    <r>
      <t>PhD Students</t>
    </r>
    <r>
      <rPr>
        <sz val="10"/>
        <rFont val="Arial"/>
        <family val="2"/>
      </rPr>
      <t xml:space="preserve"> (enter no. of students per term)</t>
    </r>
  </si>
  <si>
    <r>
      <t xml:space="preserve">Graduate Student Tuition </t>
    </r>
    <r>
      <rPr>
        <b/>
        <sz val="12"/>
        <rFont val="Arial"/>
        <family val="2"/>
      </rPr>
      <t>(*Specific Graduate Departments)</t>
    </r>
  </si>
  <si>
    <t>*Specific Graduate Departments</t>
  </si>
  <si>
    <t>*Animal Sci, Comp Sci, GDCB, Microbiology, Plant Path, BBMB, EEOB, Industrial Design, NREM</t>
  </si>
  <si>
    <t>Fall 2024</t>
  </si>
  <si>
    <t>Summer 2024</t>
  </si>
  <si>
    <t>Specific Graduate Departments</t>
  </si>
  <si>
    <t>Tuition-Specific Grad Depts</t>
  </si>
  <si>
    <t xml:space="preserve">Cost share IDC is filling even without anything added when TDC/MTDC is selected </t>
  </si>
  <si>
    <t>Updated 9/22/2017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</si>
</sst>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mm/dd/yy;@"/>
    <numFmt numFmtId="168" formatCode="&quot;$&quot;#,##0\ ;\(&quot;$&quot;#,##0\)"/>
    <numFmt numFmtId="169" formatCode="_(* #,##0.000_);_(* \(#,##0.000\);_(* &quot;-&quot;???_);_(@_)"/>
    <numFmt numFmtId="170" formatCode="0.000%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.5"/>
      <color indexed="12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u/>
      <sz val="10"/>
      <color indexed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b/>
      <sz val="10"/>
      <color theme="1"/>
      <name val="Arial"/>
      <family val="2"/>
    </font>
    <font>
      <sz val="12"/>
      <color indexed="9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8"/>
      <color theme="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79646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</fills>
  <borders count="37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6">
    <xf numFmtId="0" fontId="0" fillId="0" borderId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1" applyNumberFormat="0" applyFont="0" applyFill="0" applyAlignment="0" applyProtection="0"/>
    <xf numFmtId="0" fontId="32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19" applyNumberFormat="0" applyAlignment="0" applyProtection="0"/>
    <xf numFmtId="0" fontId="40" fillId="13" borderId="20" applyNumberFormat="0" applyAlignment="0" applyProtection="0"/>
    <xf numFmtId="0" fontId="41" fillId="13" borderId="19" applyNumberFormat="0" applyAlignment="0" applyProtection="0"/>
    <xf numFmtId="0" fontId="42" fillId="0" borderId="21" applyNumberFormat="0" applyFill="0" applyAlignment="0" applyProtection="0"/>
    <xf numFmtId="0" fontId="43" fillId="14" borderId="2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7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" fillId="15" borderId="23" applyNumberFormat="0" applyFont="0" applyAlignment="0" applyProtection="0"/>
    <xf numFmtId="9" fontId="3" fillId="0" borderId="0" applyFont="0" applyFill="0" applyBorder="0" applyAlignment="0" applyProtection="0"/>
    <xf numFmtId="0" fontId="46" fillId="0" borderId="24" applyNumberFormat="0" applyFill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15" borderId="23" applyNumberFormat="0" applyFont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</cellStyleXfs>
  <cellXfs count="352">
    <xf numFmtId="0" fontId="0" fillId="0" borderId="0" xfId="0"/>
    <xf numFmtId="0" fontId="8" fillId="0" borderId="0" xfId="0" applyFont="1"/>
    <xf numFmtId="165" fontId="8" fillId="0" borderId="0" xfId="0" applyNumberFormat="1" applyFont="1"/>
    <xf numFmtId="0" fontId="15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8" fillId="0" borderId="0" xfId="0" applyFont="1" applyFill="1"/>
    <xf numFmtId="0" fontId="0" fillId="0" borderId="0" xfId="0" applyFill="1"/>
    <xf numFmtId="0" fontId="11" fillId="2" borderId="0" xfId="0" applyFont="1" applyFill="1"/>
    <xf numFmtId="0" fontId="15" fillId="2" borderId="0" xfId="0" applyFont="1" applyFill="1"/>
    <xf numFmtId="0" fontId="0" fillId="2" borderId="0" xfId="0" applyFill="1" applyAlignment="1"/>
    <xf numFmtId="0" fontId="0" fillId="2" borderId="0" xfId="0" applyFill="1" applyAlignment="1">
      <alignment horizontal="left"/>
    </xf>
    <xf numFmtId="0" fontId="12" fillId="0" borderId="0" xfId="0" applyFont="1"/>
    <xf numFmtId="0" fontId="25" fillId="0" borderId="0" xfId="0" applyFont="1"/>
    <xf numFmtId="0" fontId="8" fillId="0" borderId="0" xfId="0" applyFont="1" applyAlignment="1">
      <alignment horizontal="right"/>
    </xf>
    <xf numFmtId="0" fontId="12" fillId="2" borderId="0" xfId="0" applyFont="1" applyFill="1" applyAlignment="1" applyProtection="1">
      <alignment horizontal="center"/>
    </xf>
    <xf numFmtId="164" fontId="11" fillId="2" borderId="2" xfId="0" applyNumberFormat="1" applyFont="1" applyFill="1" applyBorder="1" applyAlignment="1" applyProtection="1">
      <alignment horizontal="right"/>
    </xf>
    <xf numFmtId="164" fontId="11" fillId="7" borderId="2" xfId="0" applyNumberFormat="1" applyFont="1" applyFill="1" applyBorder="1" applyAlignment="1" applyProtection="1">
      <alignment horizontal="right"/>
    </xf>
    <xf numFmtId="164" fontId="4" fillId="7" borderId="2" xfId="0" applyNumberFormat="1" applyFont="1" applyFill="1" applyBorder="1" applyAlignment="1" applyProtection="1">
      <alignment horizontal="right"/>
    </xf>
    <xf numFmtId="164" fontId="12" fillId="2" borderId="0" xfId="0" applyNumberFormat="1" applyFont="1" applyFill="1" applyAlignment="1" applyProtection="1">
      <alignment horizontal="center"/>
    </xf>
    <xf numFmtId="164" fontId="4" fillId="6" borderId="0" xfId="0" applyNumberFormat="1" applyFont="1" applyFill="1" applyAlignment="1" applyProtection="1">
      <alignment horizontal="center"/>
    </xf>
    <xf numFmtId="164" fontId="4" fillId="2" borderId="0" xfId="0" applyNumberFormat="1" applyFont="1" applyFill="1" applyAlignment="1" applyProtection="1">
      <alignment horizontal="center"/>
    </xf>
    <xf numFmtId="164" fontId="12" fillId="6" borderId="0" xfId="0" applyNumberFormat="1" applyFont="1" applyFill="1" applyAlignment="1" applyProtection="1">
      <alignment horizontal="center"/>
    </xf>
    <xf numFmtId="164" fontId="4" fillId="2" borderId="0" xfId="0" applyNumberFormat="1" applyFont="1" applyFill="1" applyAlignment="1" applyProtection="1">
      <alignment horizontal="right"/>
    </xf>
    <xf numFmtId="164" fontId="4" fillId="6" borderId="0" xfId="0" applyNumberFormat="1" applyFont="1" applyFill="1" applyAlignment="1" applyProtection="1">
      <alignment horizontal="right"/>
    </xf>
    <xf numFmtId="165" fontId="8" fillId="0" borderId="0" xfId="0" applyNumberFormat="1" applyFont="1" applyFill="1"/>
    <xf numFmtId="164" fontId="4" fillId="7" borderId="2" xfId="0" applyNumberFormat="1" applyFont="1" applyFill="1" applyBorder="1" applyAlignment="1" applyProtection="1">
      <alignment horizontal="right"/>
      <protection locked="0"/>
    </xf>
    <xf numFmtId="164" fontId="4" fillId="7" borderId="5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11" fillId="6" borderId="0" xfId="0" applyFont="1" applyFill="1" applyAlignment="1" applyProtection="1">
      <protection locked="0"/>
    </xf>
    <xf numFmtId="0" fontId="11" fillId="2" borderId="0" xfId="0" applyFont="1" applyFill="1" applyAlignment="1" applyProtection="1">
      <protection locked="0"/>
    </xf>
    <xf numFmtId="0" fontId="12" fillId="2" borderId="0" xfId="0" applyFont="1" applyFill="1" applyAlignment="1" applyProtection="1">
      <protection locked="0"/>
    </xf>
    <xf numFmtId="0" fontId="27" fillId="7" borderId="2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13" fillId="2" borderId="0" xfId="0" applyFont="1" applyFill="1" applyAlignment="1" applyProtection="1">
      <alignment horizontal="right"/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Alignment="1" applyProtection="1">
      <alignment horizontal="left"/>
      <protection locked="0"/>
    </xf>
    <xf numFmtId="164" fontId="11" fillId="6" borderId="2" xfId="0" applyNumberFormat="1" applyFont="1" applyFill="1" applyBorder="1" applyAlignment="1" applyProtection="1">
      <alignment horizontal="right"/>
      <protection locked="0"/>
    </xf>
    <xf numFmtId="164" fontId="11" fillId="7" borderId="2" xfId="0" applyNumberFormat="1" applyFont="1" applyFill="1" applyBorder="1" applyAlignment="1" applyProtection="1">
      <alignment horizontal="right"/>
      <protection locked="0"/>
    </xf>
    <xf numFmtId="164" fontId="11" fillId="7" borderId="5" xfId="0" applyNumberFormat="1" applyFont="1" applyFill="1" applyBorder="1" applyAlignment="1" applyProtection="1">
      <alignment horizontal="right"/>
      <protection locked="0"/>
    </xf>
    <xf numFmtId="164" fontId="11" fillId="6" borderId="5" xfId="0" applyNumberFormat="1" applyFont="1" applyFill="1" applyBorder="1" applyAlignment="1" applyProtection="1">
      <alignment horizontal="right"/>
      <protection locked="0"/>
    </xf>
    <xf numFmtId="0" fontId="14" fillId="2" borderId="0" xfId="0" applyFont="1" applyFill="1" applyAlignment="1" applyProtection="1">
      <alignment horizontal="left"/>
      <protection locked="0"/>
    </xf>
    <xf numFmtId="2" fontId="4" fillId="2" borderId="0" xfId="0" applyNumberFormat="1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6" borderId="0" xfId="0" applyFont="1" applyFill="1" applyProtection="1">
      <protection locked="0"/>
    </xf>
    <xf numFmtId="0" fontId="4" fillId="6" borderId="0" xfId="0" applyFont="1" applyFill="1" applyAlignment="1" applyProtection="1">
      <alignment horizontal="right"/>
      <protection locked="0"/>
    </xf>
    <xf numFmtId="0" fontId="14" fillId="6" borderId="0" xfId="0" applyFont="1" applyFill="1" applyAlignment="1" applyProtection="1">
      <alignment horizontal="left"/>
      <protection locked="0"/>
    </xf>
    <xf numFmtId="164" fontId="12" fillId="6" borderId="0" xfId="0" applyNumberFormat="1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right"/>
      <protection locked="0"/>
    </xf>
    <xf numFmtId="164" fontId="4" fillId="6" borderId="0" xfId="0" applyNumberFormat="1" applyFont="1" applyFill="1" applyAlignment="1" applyProtection="1">
      <alignment horizontal="center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horizontal="right"/>
      <protection locked="0"/>
    </xf>
    <xf numFmtId="166" fontId="4" fillId="2" borderId="0" xfId="0" applyNumberFormat="1" applyFont="1" applyFill="1" applyAlignment="1" applyProtection="1">
      <alignment horizontal="right"/>
      <protection locked="0"/>
    </xf>
    <xf numFmtId="166" fontId="4" fillId="2" borderId="0" xfId="14" applyNumberFormat="1" applyFont="1" applyFill="1" applyProtection="1"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right"/>
      <protection locked="0"/>
    </xf>
    <xf numFmtId="2" fontId="12" fillId="2" borderId="0" xfId="0" applyNumberFormat="1" applyFont="1" applyFill="1" applyAlignment="1" applyProtection="1">
      <alignment horizontal="right"/>
      <protection locked="0"/>
    </xf>
    <xf numFmtId="0" fontId="15" fillId="6" borderId="0" xfId="0" applyFont="1" applyFill="1" applyAlignment="1" applyProtection="1">
      <alignment horizontal="left"/>
      <protection locked="0"/>
    </xf>
    <xf numFmtId="0" fontId="15" fillId="6" borderId="0" xfId="0" applyFont="1" applyFill="1" applyAlignment="1" applyProtection="1">
      <alignment horizontal="right"/>
      <protection locked="0"/>
    </xf>
    <xf numFmtId="2" fontId="4" fillId="6" borderId="0" xfId="0" applyNumberFormat="1" applyFont="1" applyFill="1" applyAlignment="1" applyProtection="1">
      <alignment horizontal="right"/>
      <protection locked="0"/>
    </xf>
    <xf numFmtId="164" fontId="15" fillId="6" borderId="0" xfId="0" applyNumberFormat="1" applyFont="1" applyFill="1" applyAlignment="1" applyProtection="1">
      <alignment horizontal="right"/>
      <protection locked="0"/>
    </xf>
    <xf numFmtId="164" fontId="4" fillId="6" borderId="0" xfId="0" applyNumberFormat="1" applyFont="1" applyFill="1" applyAlignment="1" applyProtection="1">
      <alignment horizontal="right"/>
      <protection locked="0"/>
    </xf>
    <xf numFmtId="0" fontId="15" fillId="2" borderId="0" xfId="0" applyFont="1" applyFill="1" applyAlignment="1" applyProtection="1">
      <alignment horizontal="left"/>
      <protection locked="0"/>
    </xf>
    <xf numFmtId="0" fontId="11" fillId="6" borderId="0" xfId="0" applyFont="1" applyFill="1" applyAlignment="1" applyProtection="1">
      <alignment horizontal="right"/>
      <protection locked="0"/>
    </xf>
    <xf numFmtId="164" fontId="15" fillId="7" borderId="2" xfId="0" applyNumberFormat="1" applyFont="1" applyFill="1" applyBorder="1" applyAlignment="1" applyProtection="1">
      <alignment horizontal="right"/>
      <protection locked="0"/>
    </xf>
    <xf numFmtId="0" fontId="4" fillId="6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protection locked="0"/>
    </xf>
    <xf numFmtId="165" fontId="4" fillId="6" borderId="0" xfId="0" applyNumberFormat="1" applyFont="1" applyFill="1" applyProtection="1">
      <protection locked="0"/>
    </xf>
    <xf numFmtId="2" fontId="12" fillId="2" borderId="0" xfId="0" applyNumberFormat="1" applyFont="1" applyFill="1" applyAlignment="1" applyProtection="1"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26" fillId="2" borderId="0" xfId="0" applyFont="1" applyFill="1" applyAlignment="1" applyProtection="1">
      <alignment horizontal="left"/>
      <protection locked="0"/>
    </xf>
    <xf numFmtId="0" fontId="13" fillId="6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right"/>
      <protection locked="0"/>
    </xf>
    <xf numFmtId="164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24" fillId="0" borderId="0" xfId="0" applyFont="1" applyAlignment="1" applyProtection="1">
      <protection locked="0"/>
    </xf>
    <xf numFmtId="0" fontId="22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10" fontId="0" fillId="0" borderId="0" xfId="0" applyNumberFormat="1" applyProtection="1">
      <protection locked="0"/>
    </xf>
    <xf numFmtId="9" fontId="29" fillId="0" borderId="9" xfId="14" applyNumberFormat="1" applyFont="1" applyBorder="1" applyAlignment="1" applyProtection="1">
      <alignment horizontal="left"/>
      <protection locked="0"/>
    </xf>
    <xf numFmtId="0" fontId="29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29" fillId="0" borderId="10" xfId="0" applyFont="1" applyBorder="1" applyProtection="1">
      <protection locked="0"/>
    </xf>
    <xf numFmtId="0" fontId="29" fillId="0" borderId="12" xfId="0" applyFont="1" applyBorder="1" applyProtection="1">
      <protection locked="0"/>
    </xf>
    <xf numFmtId="0" fontId="29" fillId="0" borderId="0" xfId="0" applyFont="1" applyBorder="1" applyProtection="1">
      <protection locked="0"/>
    </xf>
    <xf numFmtId="9" fontId="29" fillId="0" borderId="12" xfId="14" applyNumberFormat="1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29" fillId="0" borderId="4" xfId="0" applyFont="1" applyBorder="1" applyProtection="1">
      <protection locked="0"/>
    </xf>
    <xf numFmtId="166" fontId="0" fillId="0" borderId="0" xfId="0" applyNumberFormat="1" applyProtection="1">
      <protection locked="0"/>
    </xf>
    <xf numFmtId="9" fontId="29" fillId="0" borderId="13" xfId="14" applyNumberFormat="1" applyFont="1" applyBorder="1" applyAlignment="1" applyProtection="1">
      <alignment horizontal="left"/>
      <protection locked="0"/>
    </xf>
    <xf numFmtId="0" fontId="29" fillId="0" borderId="14" xfId="0" applyFont="1" applyBorder="1" applyProtection="1">
      <protection locked="0"/>
    </xf>
    <xf numFmtId="0" fontId="0" fillId="0" borderId="14" xfId="0" applyBorder="1" applyProtection="1">
      <protection locked="0"/>
    </xf>
    <xf numFmtId="0" fontId="29" fillId="0" borderId="15" xfId="0" applyFont="1" applyBorder="1" applyProtection="1">
      <protection locked="0"/>
    </xf>
    <xf numFmtId="0" fontId="14" fillId="0" borderId="0" xfId="13" applyProtection="1">
      <protection locked="0"/>
    </xf>
    <xf numFmtId="0" fontId="5" fillId="0" borderId="0" xfId="11" applyAlignment="1" applyProtection="1"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2" fontId="4" fillId="0" borderId="0" xfId="0" applyNumberFormat="1" applyFont="1" applyFill="1" applyAlignment="1" applyProtection="1">
      <alignment horizontal="right"/>
      <protection locked="0"/>
    </xf>
    <xf numFmtId="164" fontId="4" fillId="0" borderId="2" xfId="0" applyNumberFormat="1" applyFont="1" applyFill="1" applyBorder="1" applyAlignment="1" applyProtection="1">
      <alignment horizontal="right"/>
      <protection locked="0"/>
    </xf>
    <xf numFmtId="164" fontId="4" fillId="0" borderId="5" xfId="0" applyNumberFormat="1" applyFont="1" applyFill="1" applyBorder="1" applyAlignment="1" applyProtection="1">
      <alignment horizontal="right"/>
      <protection locked="0"/>
    </xf>
    <xf numFmtId="164" fontId="4" fillId="0" borderId="2" xfId="0" applyNumberFormat="1" applyFont="1" applyFill="1" applyBorder="1" applyAlignment="1" applyProtection="1">
      <alignment horizontal="right"/>
    </xf>
    <xf numFmtId="0" fontId="27" fillId="0" borderId="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166" fontId="4" fillId="0" borderId="0" xfId="0" applyNumberFormat="1" applyFont="1" applyFill="1" applyAlignment="1" applyProtection="1">
      <alignment horizontal="right"/>
      <protection locked="0"/>
    </xf>
    <xf numFmtId="166" fontId="4" fillId="0" borderId="0" xfId="14" applyNumberFormat="1" applyFont="1" applyFill="1" applyProtection="1">
      <protection locked="0"/>
    </xf>
    <xf numFmtId="0" fontId="15" fillId="0" borderId="0" xfId="0" applyFont="1" applyFill="1" applyAlignment="1" applyProtection="1">
      <alignment horizontal="left"/>
      <protection locked="0"/>
    </xf>
    <xf numFmtId="164" fontId="15" fillId="0" borderId="2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protection locked="0"/>
    </xf>
    <xf numFmtId="2" fontId="24" fillId="0" borderId="0" xfId="0" applyNumberFormat="1" applyFont="1" applyFill="1" applyAlignment="1" applyProtection="1"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4" fillId="0" borderId="4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Protection="1">
      <protection locked="0"/>
    </xf>
    <xf numFmtId="164" fontId="4" fillId="0" borderId="5" xfId="0" applyNumberFormat="1" applyFont="1" applyFill="1" applyBorder="1" applyAlignment="1" applyProtection="1">
      <alignment horizontal="right"/>
    </xf>
    <xf numFmtId="164" fontId="11" fillId="7" borderId="6" xfId="0" applyNumberFormat="1" applyFont="1" applyFill="1" applyBorder="1" applyAlignment="1" applyProtection="1">
      <alignment horizontal="right"/>
      <protection locked="0"/>
    </xf>
    <xf numFmtId="164" fontId="11" fillId="6" borderId="6" xfId="0" applyNumberFormat="1" applyFont="1" applyFill="1" applyBorder="1" applyAlignment="1" applyProtection="1">
      <alignment horizontal="right"/>
      <protection locked="0"/>
    </xf>
    <xf numFmtId="164" fontId="11" fillId="2" borderId="6" xfId="0" applyNumberFormat="1" applyFont="1" applyFill="1" applyBorder="1" applyAlignment="1" applyProtection="1">
      <alignment horizontal="right"/>
    </xf>
    <xf numFmtId="164" fontId="11" fillId="2" borderId="7" xfId="0" applyNumberFormat="1" applyFont="1" applyFill="1" applyBorder="1" applyAlignment="1" applyProtection="1">
      <alignment horizontal="right"/>
    </xf>
    <xf numFmtId="2" fontId="4" fillId="6" borderId="0" xfId="0" applyNumberFormat="1" applyFont="1" applyFill="1" applyAlignment="1" applyProtection="1">
      <alignment horizontal="left"/>
      <protection locked="0"/>
    </xf>
    <xf numFmtId="164" fontId="11" fillId="0" borderId="5" xfId="0" applyNumberFormat="1" applyFont="1" applyFill="1" applyBorder="1" applyAlignment="1" applyProtection="1">
      <alignment horizontal="right"/>
      <protection locked="0"/>
    </xf>
    <xf numFmtId="164" fontId="11" fillId="0" borderId="2" xfId="0" applyNumberFormat="1" applyFont="1" applyFill="1" applyBorder="1" applyAlignment="1" applyProtection="1">
      <alignment horizontal="right"/>
      <protection locked="0"/>
    </xf>
    <xf numFmtId="164" fontId="11" fillId="0" borderId="2" xfId="0" applyNumberFormat="1" applyFont="1" applyFill="1" applyBorder="1" applyAlignment="1" applyProtection="1">
      <alignment horizontal="right"/>
    </xf>
    <xf numFmtId="164" fontId="11" fillId="0" borderId="6" xfId="0" applyNumberFormat="1" applyFont="1" applyFill="1" applyBorder="1" applyAlignment="1" applyProtection="1">
      <alignment horizontal="right"/>
    </xf>
    <xf numFmtId="164" fontId="11" fillId="0" borderId="7" xfId="0" applyNumberFormat="1" applyFont="1" applyFill="1" applyBorder="1" applyAlignment="1" applyProtection="1">
      <alignment horizontal="right"/>
    </xf>
    <xf numFmtId="0" fontId="3" fillId="0" borderId="0" xfId="64" applyAlignment="1" applyProtection="1">
      <alignment horizontal="right"/>
      <protection locked="0"/>
    </xf>
    <xf numFmtId="0" fontId="3" fillId="0" borderId="0" xfId="64" applyProtection="1">
      <protection locked="0"/>
    </xf>
    <xf numFmtId="14" fontId="3" fillId="0" borderId="0" xfId="64" applyNumberFormat="1" applyProtection="1">
      <protection locked="0"/>
    </xf>
    <xf numFmtId="0" fontId="3" fillId="0" borderId="0" xfId="64" applyFont="1" applyAlignment="1" applyProtection="1">
      <alignment horizontal="right"/>
      <protection locked="0"/>
    </xf>
    <xf numFmtId="0" fontId="46" fillId="0" borderId="0" xfId="64" applyFont="1" applyAlignment="1" applyProtection="1">
      <alignment horizontal="center"/>
    </xf>
    <xf numFmtId="49" fontId="46" fillId="0" borderId="0" xfId="64" applyNumberFormat="1" applyFont="1" applyAlignment="1" applyProtection="1">
      <alignment horizontal="center"/>
    </xf>
    <xf numFmtId="0" fontId="3" fillId="0" borderId="0" xfId="64" applyProtection="1"/>
    <xf numFmtId="49" fontId="3" fillId="0" borderId="0" xfId="64" applyNumberFormat="1" applyAlignment="1" applyProtection="1">
      <alignment horizontal="center"/>
    </xf>
    <xf numFmtId="37" fontId="3" fillId="0" borderId="0" xfId="64" applyNumberFormat="1" applyProtection="1"/>
    <xf numFmtId="49" fontId="3" fillId="40" borderId="0" xfId="64" applyNumberFormat="1" applyFill="1" applyAlignment="1" applyProtection="1">
      <alignment horizontal="center"/>
    </xf>
    <xf numFmtId="0" fontId="3" fillId="0" borderId="0" xfId="64" applyAlignment="1" applyProtection="1">
      <alignment horizontal="left" indent="1"/>
    </xf>
    <xf numFmtId="37" fontId="3" fillId="0" borderId="25" xfId="64" applyNumberFormat="1" applyBorder="1" applyProtection="1"/>
    <xf numFmtId="37" fontId="3" fillId="0" borderId="0" xfId="64" applyNumberFormat="1" applyFill="1" applyBorder="1" applyProtection="1"/>
    <xf numFmtId="37" fontId="3" fillId="0" borderId="26" xfId="64" applyNumberFormat="1" applyBorder="1" applyProtection="1"/>
    <xf numFmtId="0" fontId="2" fillId="8" borderId="0" xfId="64" applyFont="1" applyFill="1" applyProtection="1">
      <protection locked="0"/>
    </xf>
    <xf numFmtId="166" fontId="4" fillId="0" borderId="0" xfId="0" applyNumberFormat="1" applyFont="1" applyFill="1" applyAlignment="1" applyProtection="1">
      <alignment horizontal="right"/>
      <protection locked="0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/>
    <xf numFmtId="0" fontId="0" fillId="0" borderId="0" xfId="0"/>
    <xf numFmtId="0" fontId="12" fillId="2" borderId="0" xfId="0" applyFont="1" applyFill="1"/>
    <xf numFmtId="164" fontId="12" fillId="2" borderId="0" xfId="0" applyNumberFormat="1" applyFont="1" applyFill="1"/>
    <xf numFmtId="0" fontId="4" fillId="2" borderId="0" xfId="0" applyFont="1" applyFill="1" applyAlignment="1">
      <alignment horizontal="left"/>
    </xf>
    <xf numFmtId="0" fontId="0" fillId="2" borderId="0" xfId="0" applyFill="1"/>
    <xf numFmtId="0" fontId="4" fillId="2" borderId="0" xfId="0" applyFont="1" applyFill="1" applyAlignment="1">
      <alignment horizontal="right"/>
    </xf>
    <xf numFmtId="0" fontId="51" fillId="6" borderId="0" xfId="0" applyFont="1" applyFill="1" applyProtection="1">
      <protection locked="0"/>
    </xf>
    <xf numFmtId="0" fontId="24" fillId="6" borderId="0" xfId="0" applyFont="1" applyFill="1" applyAlignment="1" applyProtection="1">
      <alignment horizontal="left"/>
      <protection locked="0"/>
    </xf>
    <xf numFmtId="166" fontId="4" fillId="0" borderId="0" xfId="0" applyNumberFormat="1" applyFont="1" applyFill="1" applyAlignment="1" applyProtection="1">
      <alignment horizontal="right"/>
      <protection locked="0"/>
    </xf>
    <xf numFmtId="0" fontId="4" fillId="0" borderId="0" xfId="13" applyFont="1" applyProtection="1">
      <protection locked="0"/>
    </xf>
    <xf numFmtId="0" fontId="4" fillId="0" borderId="0" xfId="59"/>
    <xf numFmtId="43" fontId="15" fillId="40" borderId="0" xfId="61" applyFont="1" applyFill="1" applyProtection="1">
      <protection hidden="1"/>
    </xf>
    <xf numFmtId="43" fontId="15" fillId="40" borderId="0" xfId="59" applyNumberFormat="1" applyFont="1" applyFill="1" applyProtection="1">
      <protection hidden="1"/>
    </xf>
    <xf numFmtId="166" fontId="52" fillId="40" borderId="0" xfId="14" applyNumberFormat="1" applyFont="1" applyFill="1" applyBorder="1" applyProtection="1">
      <protection hidden="1"/>
    </xf>
    <xf numFmtId="0" fontId="4" fillId="40" borderId="0" xfId="59" applyFill="1" applyAlignment="1" applyProtection="1">
      <alignment horizontal="center"/>
      <protection hidden="1"/>
    </xf>
    <xf numFmtId="0" fontId="4" fillId="40" borderId="0" xfId="59" applyFill="1" applyBorder="1" applyAlignment="1" applyProtection="1">
      <alignment horizontal="center"/>
      <protection hidden="1"/>
    </xf>
    <xf numFmtId="0" fontId="4" fillId="40" borderId="0" xfId="59" applyFill="1" applyProtection="1">
      <protection hidden="1"/>
    </xf>
    <xf numFmtId="43" fontId="15" fillId="40" borderId="0" xfId="59" applyNumberFormat="1" applyFont="1" applyFill="1" applyAlignment="1">
      <alignment horizontal="center"/>
    </xf>
    <xf numFmtId="0" fontId="4" fillId="40" borderId="0" xfId="59" applyFill="1"/>
    <xf numFmtId="0" fontId="15" fillId="40" borderId="0" xfId="59" applyFont="1" applyFill="1" applyAlignment="1">
      <alignment horizontal="right"/>
    </xf>
    <xf numFmtId="43" fontId="0" fillId="42" borderId="14" xfId="61" applyFont="1" applyFill="1" applyBorder="1" applyProtection="1">
      <protection hidden="1"/>
    </xf>
    <xf numFmtId="43" fontId="4" fillId="42" borderId="14" xfId="59" applyNumberFormat="1" applyFill="1" applyBorder="1" applyProtection="1">
      <protection hidden="1"/>
    </xf>
    <xf numFmtId="9" fontId="4" fillId="42" borderId="14" xfId="14" quotePrefix="1" applyFont="1" applyFill="1" applyBorder="1" applyProtection="1">
      <protection hidden="1"/>
    </xf>
    <xf numFmtId="0" fontId="4" fillId="42" borderId="14" xfId="59" applyFill="1" applyBorder="1" applyAlignment="1" applyProtection="1">
      <alignment horizontal="center"/>
      <protection hidden="1"/>
    </xf>
    <xf numFmtId="0" fontId="4" fillId="42" borderId="14" xfId="59" applyFill="1" applyBorder="1" applyProtection="1">
      <protection hidden="1"/>
    </xf>
    <xf numFmtId="0" fontId="4" fillId="42" borderId="14" xfId="59" applyFill="1" applyBorder="1" applyAlignment="1">
      <alignment horizontal="center"/>
    </xf>
    <xf numFmtId="0" fontId="4" fillId="0" borderId="14" xfId="59" applyBorder="1" applyAlignment="1" applyProtection="1">
      <alignment horizontal="center"/>
      <protection hidden="1"/>
    </xf>
    <xf numFmtId="0" fontId="4" fillId="0" borderId="14" xfId="59" applyBorder="1"/>
    <xf numFmtId="43" fontId="0" fillId="42" borderId="0" xfId="61" applyFont="1" applyFill="1" applyBorder="1" applyProtection="1">
      <protection hidden="1"/>
    </xf>
    <xf numFmtId="43" fontId="4" fillId="42" borderId="0" xfId="59" applyNumberFormat="1" applyFill="1" applyBorder="1" applyProtection="1">
      <protection hidden="1"/>
    </xf>
    <xf numFmtId="9" fontId="4" fillId="42" borderId="0" xfId="14" quotePrefix="1" applyFont="1" applyFill="1" applyBorder="1" applyProtection="1">
      <protection hidden="1"/>
    </xf>
    <xf numFmtId="0" fontId="4" fillId="42" borderId="0" xfId="59" applyFill="1" applyBorder="1" applyAlignment="1" applyProtection="1">
      <alignment horizontal="center"/>
      <protection hidden="1"/>
    </xf>
    <xf numFmtId="0" fontId="4" fillId="42" borderId="0" xfId="59" applyFill="1" applyBorder="1" applyProtection="1">
      <protection hidden="1"/>
    </xf>
    <xf numFmtId="0" fontId="4" fillId="42" borderId="0" xfId="59" applyFill="1" applyBorder="1" applyAlignment="1">
      <alignment horizontal="center"/>
    </xf>
    <xf numFmtId="0" fontId="4" fillId="0" borderId="0" xfId="59" applyAlignment="1" applyProtection="1">
      <alignment horizontal="center"/>
      <protection hidden="1"/>
    </xf>
    <xf numFmtId="0" fontId="4" fillId="0" borderId="0" xfId="59" applyFont="1"/>
    <xf numFmtId="14" fontId="4" fillId="0" borderId="27" xfId="59" applyNumberFormat="1" applyBorder="1" applyProtection="1">
      <protection locked="0"/>
    </xf>
    <xf numFmtId="0" fontId="15" fillId="8" borderId="28" xfId="59" applyFont="1" applyFill="1" applyBorder="1"/>
    <xf numFmtId="0" fontId="4" fillId="42" borderId="25" xfId="59" applyFill="1" applyBorder="1" applyAlignment="1" applyProtection="1">
      <alignment horizontal="center"/>
      <protection hidden="1"/>
    </xf>
    <xf numFmtId="43" fontId="0" fillId="42" borderId="0" xfId="61" applyFont="1" applyFill="1" applyBorder="1" applyAlignment="1" applyProtection="1">
      <alignment horizontal="center"/>
      <protection hidden="1"/>
    </xf>
    <xf numFmtId="43" fontId="0" fillId="0" borderId="2" xfId="61" applyFont="1" applyBorder="1" applyAlignment="1" applyProtection="1">
      <alignment horizontal="center"/>
      <protection locked="0"/>
    </xf>
    <xf numFmtId="0" fontId="4" fillId="40" borderId="0" xfId="59" quotePrefix="1" applyFont="1" applyFill="1" applyBorder="1" applyAlignment="1">
      <alignment horizontal="center"/>
    </xf>
    <xf numFmtId="0" fontId="15" fillId="8" borderId="27" xfId="59" applyFont="1" applyFill="1" applyBorder="1"/>
    <xf numFmtId="0" fontId="15" fillId="42" borderId="14" xfId="59" applyFont="1" applyFill="1" applyBorder="1" applyAlignment="1" applyProtection="1">
      <alignment horizontal="center"/>
      <protection hidden="1"/>
    </xf>
    <xf numFmtId="0" fontId="15" fillId="42" borderId="14" xfId="59" applyFont="1" applyFill="1" applyBorder="1" applyProtection="1">
      <protection hidden="1"/>
    </xf>
    <xf numFmtId="0" fontId="4" fillId="42" borderId="14" xfId="59" applyFont="1" applyFill="1" applyBorder="1" applyAlignment="1" applyProtection="1">
      <alignment horizontal="center"/>
      <protection hidden="1"/>
    </xf>
    <xf numFmtId="0" fontId="15" fillId="42" borderId="29" xfId="59" applyFont="1" applyFill="1" applyBorder="1" applyProtection="1">
      <protection hidden="1"/>
    </xf>
    <xf numFmtId="0" fontId="15" fillId="8" borderId="30" xfId="59" applyFont="1" applyFill="1" applyBorder="1" applyAlignment="1">
      <alignment horizontal="center"/>
    </xf>
    <xf numFmtId="0" fontId="15" fillId="8" borderId="0" xfId="59" applyFont="1" applyFill="1" applyAlignment="1">
      <alignment horizontal="center"/>
    </xf>
    <xf numFmtId="0" fontId="4" fillId="0" borderId="0" xfId="59" applyFont="1" applyAlignment="1">
      <alignment horizontal="center"/>
    </xf>
    <xf numFmtId="0" fontId="4" fillId="0" borderId="0" xfId="59" applyAlignment="1">
      <alignment horizontal="center"/>
    </xf>
    <xf numFmtId="0" fontId="15" fillId="8" borderId="0" xfId="59" applyFont="1" applyFill="1" applyAlignment="1">
      <alignment horizontal="left"/>
    </xf>
    <xf numFmtId="0" fontId="15" fillId="0" borderId="0" xfId="59" applyFont="1" applyAlignment="1">
      <alignment vertical="center"/>
    </xf>
    <xf numFmtId="43" fontId="4" fillId="0" borderId="0" xfId="59" applyNumberFormat="1"/>
    <xf numFmtId="169" fontId="4" fillId="0" borderId="0" xfId="59" applyNumberFormat="1"/>
    <xf numFmtId="0" fontId="4" fillId="0" borderId="0" xfId="59" quotePrefix="1" applyFont="1"/>
    <xf numFmtId="0" fontId="4" fillId="42" borderId="31" xfId="59" applyFont="1" applyFill="1" applyBorder="1" applyAlignment="1" applyProtection="1">
      <alignment horizontal="center"/>
      <protection hidden="1"/>
    </xf>
    <xf numFmtId="0" fontId="4" fillId="0" borderId="0" xfId="59" applyFill="1" applyAlignment="1" applyProtection="1">
      <alignment horizontal="center"/>
      <protection hidden="1"/>
    </xf>
    <xf numFmtId="0" fontId="4" fillId="0" borderId="0" xfId="59" applyProtection="1">
      <protection hidden="1"/>
    </xf>
    <xf numFmtId="9" fontId="0" fillId="40" borderId="0" xfId="14" applyFont="1" applyFill="1" applyAlignment="1" applyProtection="1">
      <alignment horizontal="center"/>
      <protection hidden="1"/>
    </xf>
    <xf numFmtId="14" fontId="4" fillId="40" borderId="0" xfId="59" applyNumberFormat="1" applyFill="1" applyAlignment="1" applyProtection="1">
      <alignment horizontal="center"/>
      <protection hidden="1"/>
    </xf>
    <xf numFmtId="14" fontId="4" fillId="40" borderId="0" xfId="59" applyNumberFormat="1" applyFill="1" applyBorder="1" applyAlignment="1" applyProtection="1">
      <alignment horizontal="center"/>
      <protection hidden="1"/>
    </xf>
    <xf numFmtId="0" fontId="4" fillId="0" borderId="0" xfId="59" quotePrefix="1" applyFont="1" applyFill="1"/>
    <xf numFmtId="0" fontId="4" fillId="0" borderId="0" xfId="59" quotePrefix="1" applyFill="1"/>
    <xf numFmtId="0" fontId="15" fillId="40" borderId="14" xfId="59" applyFont="1" applyFill="1" applyBorder="1" applyAlignment="1" applyProtection="1">
      <alignment horizontal="center"/>
      <protection hidden="1"/>
    </xf>
    <xf numFmtId="0" fontId="4" fillId="40" borderId="14" xfId="59" applyFill="1" applyBorder="1" applyAlignment="1" applyProtection="1">
      <alignment horizontal="center"/>
      <protection hidden="1"/>
    </xf>
    <xf numFmtId="0" fontId="4" fillId="0" borderId="0" xfId="59" applyFill="1"/>
    <xf numFmtId="0" fontId="15" fillId="40" borderId="0" xfId="59" applyFont="1" applyFill="1" applyAlignment="1" applyProtection="1">
      <alignment horizontal="left" wrapText="1"/>
      <protection hidden="1"/>
    </xf>
    <xf numFmtId="43" fontId="15" fillId="41" borderId="28" xfId="59" applyNumberFormat="1" applyFont="1" applyFill="1" applyBorder="1" applyAlignment="1">
      <alignment horizontal="center"/>
    </xf>
    <xf numFmtId="0" fontId="4" fillId="0" borderId="32" xfId="59" applyFill="1" applyBorder="1"/>
    <xf numFmtId="0" fontId="4" fillId="0" borderId="33" xfId="59" applyFont="1" applyFill="1" applyBorder="1"/>
    <xf numFmtId="0" fontId="15" fillId="0" borderId="0" xfId="59" applyFont="1" applyAlignment="1">
      <alignment horizontal="left"/>
    </xf>
    <xf numFmtId="0" fontId="15" fillId="0" borderId="30" xfId="59" applyFont="1" applyBorder="1" applyAlignment="1">
      <alignment horizontal="center"/>
    </xf>
    <xf numFmtId="0" fontId="4" fillId="0" borderId="34" xfId="59" applyBorder="1"/>
    <xf numFmtId="0" fontId="4" fillId="0" borderId="35" xfId="59" applyFont="1" applyBorder="1"/>
    <xf numFmtId="0" fontId="15" fillId="0" borderId="0" xfId="59" applyFont="1"/>
    <xf numFmtId="165" fontId="0" fillId="0" borderId="0" xfId="0" applyNumberFormat="1" applyProtection="1">
      <protection locked="0"/>
    </xf>
    <xf numFmtId="0" fontId="12" fillId="6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Protection="1">
      <protection locked="0"/>
    </xf>
    <xf numFmtId="14" fontId="51" fillId="0" borderId="2" xfId="0" applyNumberFormat="1" applyFont="1" applyFill="1" applyBorder="1" applyAlignment="1" applyProtection="1">
      <alignment horizontal="center"/>
      <protection locked="0"/>
    </xf>
    <xf numFmtId="2" fontId="0" fillId="6" borderId="0" xfId="0" applyNumberFormat="1" applyFont="1" applyFill="1" applyAlignment="1" applyProtection="1">
      <alignment horizontal="right"/>
      <protection locked="0"/>
    </xf>
    <xf numFmtId="0" fontId="0" fillId="6" borderId="0" xfId="0" applyFont="1" applyFill="1" applyAlignment="1" applyProtection="1">
      <alignment horizontal="right"/>
      <protection locked="0"/>
    </xf>
    <xf numFmtId="9" fontId="0" fillId="6" borderId="0" xfId="0" applyNumberFormat="1" applyFont="1" applyFill="1" applyAlignment="1" applyProtection="1">
      <alignment horizontal="right"/>
      <protection locked="0"/>
    </xf>
    <xf numFmtId="0" fontId="7" fillId="43" borderId="0" xfId="0" applyFont="1" applyFill="1" applyAlignment="1" applyProtection="1">
      <alignment horizontal="left"/>
      <protection locked="0"/>
    </xf>
    <xf numFmtId="0" fontId="7" fillId="43" borderId="0" xfId="0" applyFont="1" applyFill="1" applyAlignment="1" applyProtection="1">
      <alignment horizontal="center"/>
      <protection locked="0"/>
    </xf>
    <xf numFmtId="167" fontId="7" fillId="43" borderId="0" xfId="0" applyNumberFormat="1" applyFont="1" applyFill="1" applyAlignment="1" applyProtection="1">
      <alignment horizontal="center"/>
      <protection locked="0"/>
    </xf>
    <xf numFmtId="0" fontId="10" fillId="43" borderId="0" xfId="0" applyFont="1" applyFill="1" applyAlignment="1" applyProtection="1">
      <protection locked="0"/>
    </xf>
    <xf numFmtId="0" fontId="9" fillId="43" borderId="0" xfId="0" applyFont="1" applyFill="1" applyAlignment="1" applyProtection="1">
      <protection locked="0"/>
    </xf>
    <xf numFmtId="14" fontId="9" fillId="43" borderId="0" xfId="0" applyNumberFormat="1" applyFont="1" applyFill="1" applyAlignment="1" applyProtection="1">
      <protection locked="0"/>
    </xf>
    <xf numFmtId="14" fontId="10" fillId="43" borderId="0" xfId="0" applyNumberFormat="1" applyFont="1" applyFill="1" applyAlignment="1" applyProtection="1">
      <protection locked="0"/>
    </xf>
    <xf numFmtId="0" fontId="10" fillId="44" borderId="2" xfId="0" applyFont="1" applyFill="1" applyBorder="1" applyAlignment="1" applyProtection="1">
      <alignment horizontal="center"/>
      <protection locked="0"/>
    </xf>
    <xf numFmtId="0" fontId="10" fillId="44" borderId="5" xfId="0" applyFont="1" applyFill="1" applyBorder="1" applyAlignment="1" applyProtection="1">
      <alignment horizontal="center"/>
      <protection locked="0"/>
    </xf>
    <xf numFmtId="14" fontId="53" fillId="42" borderId="2" xfId="0" applyNumberFormat="1" applyFont="1" applyFill="1" applyBorder="1" applyAlignment="1" applyProtection="1">
      <protection locked="0"/>
    </xf>
    <xf numFmtId="0" fontId="0" fillId="43" borderId="0" xfId="0" applyFill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54" fillId="43" borderId="0" xfId="0" applyFont="1" applyFill="1" applyAlignment="1" applyProtection="1">
      <protection locked="0"/>
    </xf>
    <xf numFmtId="0" fontId="16" fillId="43" borderId="0" xfId="0" applyFont="1" applyFill="1" applyAlignment="1" applyProtection="1">
      <protection locked="0"/>
    </xf>
    <xf numFmtId="0" fontId="53" fillId="43" borderId="0" xfId="0" applyFont="1" applyFill="1" applyAlignment="1" applyProtection="1">
      <protection locked="0"/>
    </xf>
    <xf numFmtId="0" fontId="55" fillId="43" borderId="0" xfId="0" applyFont="1" applyFill="1" applyAlignment="1" applyProtection="1">
      <protection locked="0"/>
    </xf>
    <xf numFmtId="0" fontId="53" fillId="43" borderId="0" xfId="0" applyFont="1" applyFill="1" applyProtection="1">
      <protection locked="0"/>
    </xf>
    <xf numFmtId="14" fontId="53" fillId="43" borderId="0" xfId="0" applyNumberFormat="1" applyFont="1" applyFill="1" applyAlignment="1" applyProtection="1">
      <protection locked="0"/>
    </xf>
    <xf numFmtId="14" fontId="51" fillId="0" borderId="0" xfId="0" applyNumberFormat="1" applyFont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top"/>
    </xf>
    <xf numFmtId="0" fontId="12" fillId="4" borderId="0" xfId="0" applyNumberFormat="1" applyFont="1" applyFill="1" applyAlignment="1" applyProtection="1">
      <alignment horizontal="left"/>
      <protection locked="0"/>
    </xf>
    <xf numFmtId="0" fontId="12" fillId="3" borderId="0" xfId="0" applyFont="1" applyFill="1" applyBorder="1" applyAlignment="1" applyProtection="1">
      <alignment horizontal="left"/>
    </xf>
    <xf numFmtId="0" fontId="12" fillId="3" borderId="0" xfId="0" applyFont="1" applyFill="1" applyAlignment="1" applyProtection="1">
      <alignment horizontal="left"/>
    </xf>
    <xf numFmtId="0" fontId="12" fillId="3" borderId="0" xfId="0" applyFont="1" applyFill="1" applyProtection="1"/>
    <xf numFmtId="0" fontId="4" fillId="2" borderId="0" xfId="0" applyFont="1" applyFill="1" applyAlignment="1">
      <alignment textRotation="90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right"/>
    </xf>
    <xf numFmtId="0" fontId="4" fillId="2" borderId="0" xfId="0" applyFont="1" applyFill="1" applyProtection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>
      <alignment horizontal="center" vertical="center" textRotation="15"/>
    </xf>
    <xf numFmtId="0" fontId="4" fillId="2" borderId="0" xfId="0" applyFont="1" applyFill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12" fillId="2" borderId="0" xfId="0" applyNumberFormat="1" applyFont="1" applyFill="1" applyProtection="1"/>
    <xf numFmtId="0" fontId="12" fillId="2" borderId="0" xfId="0" applyFont="1" applyFill="1" applyProtection="1"/>
    <xf numFmtId="0" fontId="4" fillId="3" borderId="0" xfId="0" applyFont="1" applyFill="1" applyAlignment="1" applyProtection="1">
      <alignment horizontal="left"/>
    </xf>
    <xf numFmtId="0" fontId="4" fillId="3" borderId="0" xfId="0" applyFont="1" applyFill="1" applyProtection="1"/>
    <xf numFmtId="0" fontId="4" fillId="2" borderId="0" xfId="0" applyFont="1" applyFill="1" applyAlignment="1" applyProtection="1">
      <alignment horizontal="center" vertical="center" textRotation="15"/>
    </xf>
    <xf numFmtId="0" fontId="4" fillId="2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/>
    </xf>
    <xf numFmtId="0" fontId="12" fillId="3" borderId="0" xfId="0" applyFont="1" applyFill="1" applyAlignment="1">
      <alignment horizontal="left"/>
    </xf>
    <xf numFmtId="0" fontId="12" fillId="3" borderId="0" xfId="0" applyFont="1" applyFill="1"/>
    <xf numFmtId="0" fontId="24" fillId="0" borderId="0" xfId="0" applyFont="1" applyFill="1" applyBorder="1" applyAlignment="1" applyProtection="1">
      <alignment horizontal="left"/>
      <protection locked="0"/>
    </xf>
    <xf numFmtId="0" fontId="4" fillId="45" borderId="0" xfId="0" applyFont="1" applyFill="1" applyBorder="1" applyAlignment="1">
      <alignment horizontal="left"/>
    </xf>
    <xf numFmtId="0" fontId="12" fillId="45" borderId="0" xfId="0" applyFont="1" applyFill="1" applyBorder="1"/>
    <xf numFmtId="164" fontId="12" fillId="45" borderId="0" xfId="0" applyNumberFormat="1" applyFont="1" applyFill="1" applyBorder="1"/>
    <xf numFmtId="0" fontId="4" fillId="45" borderId="0" xfId="0" applyFont="1" applyFill="1" applyBorder="1" applyAlignment="1">
      <alignment horizontal="right"/>
    </xf>
    <xf numFmtId="0" fontId="56" fillId="45" borderId="0" xfId="0" applyFont="1" applyFill="1" applyBorder="1"/>
    <xf numFmtId="0" fontId="12" fillId="45" borderId="0" xfId="0" applyFont="1" applyFill="1" applyBorder="1" applyAlignment="1">
      <alignment horizontal="right"/>
    </xf>
    <xf numFmtId="0" fontId="4" fillId="45" borderId="0" xfId="59" applyFont="1" applyFill="1" applyBorder="1" applyAlignment="1">
      <alignment horizontal="right"/>
    </xf>
    <xf numFmtId="0" fontId="12" fillId="45" borderId="0" xfId="59" applyFont="1" applyFill="1" applyBorder="1"/>
    <xf numFmtId="3" fontId="4" fillId="46" borderId="0" xfId="85" applyNumberFormat="1" applyFont="1" applyFill="1" applyBorder="1"/>
    <xf numFmtId="3" fontId="4" fillId="45" borderId="0" xfId="59" applyNumberFormat="1" applyFont="1" applyFill="1" applyBorder="1"/>
    <xf numFmtId="0" fontId="4" fillId="45" borderId="0" xfId="59" applyFont="1" applyFill="1" applyBorder="1"/>
    <xf numFmtId="164" fontId="12" fillId="45" borderId="0" xfId="59" applyNumberFormat="1" applyFont="1" applyFill="1" applyBorder="1"/>
    <xf numFmtId="3" fontId="4" fillId="47" borderId="0" xfId="85" applyNumberFormat="1" applyFont="1" applyFill="1" applyBorder="1"/>
    <xf numFmtId="0" fontId="12" fillId="45" borderId="0" xfId="59" applyFont="1" applyFill="1" applyBorder="1" applyAlignment="1">
      <alignment horizontal="right"/>
    </xf>
    <xf numFmtId="3" fontId="4" fillId="48" borderId="0" xfId="85" applyNumberFormat="1" applyFont="1" applyFill="1" applyBorder="1"/>
    <xf numFmtId="3" fontId="4" fillId="45" borderId="0" xfId="60" applyNumberFormat="1" applyFont="1" applyFill="1" applyBorder="1"/>
    <xf numFmtId="0" fontId="12" fillId="45" borderId="0" xfId="59" applyFont="1" applyFill="1" applyBorder="1" applyAlignment="1">
      <alignment horizontal="center"/>
    </xf>
    <xf numFmtId="0" fontId="4" fillId="49" borderId="0" xfId="59" applyFont="1" applyFill="1" applyBorder="1"/>
    <xf numFmtId="0" fontId="12" fillId="49" borderId="0" xfId="59" applyFont="1" applyFill="1" applyBorder="1"/>
    <xf numFmtId="3" fontId="4" fillId="49" borderId="0" xfId="60" applyNumberFormat="1" applyFont="1" applyFill="1" applyBorder="1"/>
    <xf numFmtId="0" fontId="56" fillId="49" borderId="0" xfId="0" applyFont="1" applyFill="1" applyBorder="1"/>
    <xf numFmtId="0" fontId="57" fillId="0" borderId="0" xfId="0" applyFont="1"/>
    <xf numFmtId="0" fontId="12" fillId="41" borderId="2" xfId="0" applyFont="1" applyFill="1" applyBorder="1" applyAlignment="1" applyProtection="1">
      <alignment horizontal="center"/>
      <protection locked="0"/>
    </xf>
    <xf numFmtId="0" fontId="12" fillId="41" borderId="0" xfId="0" applyFont="1" applyFill="1" applyAlignment="1" applyProtection="1">
      <alignment horizontal="center"/>
      <protection locked="0"/>
    </xf>
    <xf numFmtId="164" fontId="4" fillId="41" borderId="0" xfId="0" applyNumberFormat="1" applyFont="1" applyFill="1" applyBorder="1" applyAlignment="1" applyProtection="1">
      <alignment horizontal="right"/>
      <protection locked="0"/>
    </xf>
    <xf numFmtId="164" fontId="4" fillId="41" borderId="2" xfId="0" applyNumberFormat="1" applyFont="1" applyFill="1" applyBorder="1" applyAlignment="1" applyProtection="1">
      <alignment horizontal="right"/>
    </xf>
    <xf numFmtId="0" fontId="12" fillId="41" borderId="0" xfId="0" applyFont="1" applyFill="1" applyAlignment="1" applyProtection="1">
      <alignment horizontal="center"/>
    </xf>
    <xf numFmtId="170" fontId="53" fillId="42" borderId="2" xfId="0" applyNumberFormat="1" applyFont="1" applyFill="1" applyBorder="1" applyAlignment="1" applyProtection="1">
      <protection locked="0"/>
    </xf>
    <xf numFmtId="0" fontId="9" fillId="43" borderId="0" xfId="0" applyFont="1" applyFill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15" fillId="0" borderId="3" xfId="0" applyFont="1" applyFill="1" applyBorder="1" applyAlignment="1" applyProtection="1">
      <alignment horizontal="center" vertical="top" wrapText="1"/>
    </xf>
    <xf numFmtId="0" fontId="15" fillId="0" borderId="36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vertical="top" wrapText="1"/>
    </xf>
    <xf numFmtId="167" fontId="30" fillId="43" borderId="9" xfId="0" applyNumberFormat="1" applyFont="1" applyFill="1" applyBorder="1" applyAlignment="1" applyProtection="1">
      <alignment horizontal="left"/>
      <protection locked="0"/>
    </xf>
    <xf numFmtId="0" fontId="31" fillId="43" borderId="10" xfId="0" applyFont="1" applyFill="1" applyBorder="1" applyAlignment="1" applyProtection="1">
      <alignment horizontal="left"/>
      <protection locked="0"/>
    </xf>
    <xf numFmtId="0" fontId="11" fillId="44" borderId="5" xfId="0" applyFont="1" applyFill="1" applyBorder="1" applyAlignment="1" applyProtection="1">
      <alignment horizontal="center"/>
      <protection locked="0"/>
    </xf>
    <xf numFmtId="0" fontId="0" fillId="44" borderId="7" xfId="0" applyFill="1" applyBorder="1" applyAlignment="1" applyProtection="1">
      <alignment horizontal="center"/>
      <protection locked="0"/>
    </xf>
    <xf numFmtId="0" fontId="30" fillId="43" borderId="13" xfId="0" applyFont="1" applyFill="1" applyBorder="1" applyAlignment="1" applyProtection="1">
      <alignment horizontal="left"/>
      <protection locked="0"/>
    </xf>
    <xf numFmtId="0" fontId="0" fillId="43" borderId="15" xfId="0" applyFill="1" applyBorder="1" applyAlignment="1">
      <alignment horizontal="left"/>
    </xf>
    <xf numFmtId="0" fontId="16" fillId="0" borderId="0" xfId="0" applyFont="1" applyAlignment="1" applyProtection="1">
      <protection locked="0"/>
    </xf>
    <xf numFmtId="166" fontId="4" fillId="0" borderId="0" xfId="0" applyNumberFormat="1" applyFont="1" applyFill="1" applyAlignment="1" applyProtection="1">
      <alignment horizontal="right"/>
      <protection locked="0"/>
    </xf>
    <xf numFmtId="166" fontId="4" fillId="0" borderId="4" xfId="0" applyNumberFormat="1" applyFont="1" applyFill="1" applyBorder="1" applyAlignment="1" applyProtection="1">
      <alignment horizontal="right"/>
      <protection locked="0"/>
    </xf>
    <xf numFmtId="0" fontId="15" fillId="5" borderId="0" xfId="0" applyFont="1" applyFill="1" applyAlignment="1" applyProtection="1">
      <alignment horizontal="center" vertical="center" textRotation="90" wrapText="1"/>
    </xf>
    <xf numFmtId="0" fontId="4" fillId="0" borderId="0" xfId="0" applyFont="1" applyAlignment="1" applyProtection="1">
      <alignment textRotation="90" wrapText="1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2" borderId="0" xfId="0" applyFont="1" applyFill="1" applyAlignment="1">
      <alignment horizontal="left"/>
    </xf>
    <xf numFmtId="0" fontId="15" fillId="5" borderId="5" xfId="0" applyFont="1" applyFill="1" applyBorder="1" applyAlignment="1" applyProtection="1">
      <alignment horizontal="center" vertical="center"/>
    </xf>
    <xf numFmtId="0" fontId="15" fillId="5" borderId="6" xfId="0" applyFont="1" applyFill="1" applyBorder="1" applyAlignment="1" applyProtection="1">
      <alignment horizontal="center" vertical="center"/>
    </xf>
    <xf numFmtId="0" fontId="15" fillId="5" borderId="7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>
      <alignment horizontal="center" vertical="center" textRotation="90" wrapText="1"/>
    </xf>
    <xf numFmtId="0" fontId="4" fillId="0" borderId="0" xfId="0" applyFont="1" applyAlignment="1">
      <alignment textRotation="90" wrapText="1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</cellXfs>
  <cellStyles count="86">
    <cellStyle name="20% - Accent1" xfId="33" builtinId="30" customBuiltin="1"/>
    <cellStyle name="20% - Accent1 2" xfId="70"/>
    <cellStyle name="20% - Accent2" xfId="37" builtinId="34" customBuiltin="1"/>
    <cellStyle name="20% - Accent2 2" xfId="72"/>
    <cellStyle name="20% - Accent3" xfId="41" builtinId="38" customBuiltin="1"/>
    <cellStyle name="20% - Accent3 2" xfId="74"/>
    <cellStyle name="20% - Accent4" xfId="45" builtinId="42" customBuiltin="1"/>
    <cellStyle name="20% - Accent4 2" xfId="76"/>
    <cellStyle name="20% - Accent5" xfId="49" builtinId="46" customBuiltin="1"/>
    <cellStyle name="20% - Accent5 2" xfId="78"/>
    <cellStyle name="20% - Accent6" xfId="53" builtinId="50" customBuiltin="1"/>
    <cellStyle name="20% - Accent6 2" xfId="80"/>
    <cellStyle name="40% - Accent1" xfId="34" builtinId="31" customBuiltin="1"/>
    <cellStyle name="40% - Accent1 2" xfId="71"/>
    <cellStyle name="40% - Accent2" xfId="38" builtinId="35" customBuiltin="1"/>
    <cellStyle name="40% - Accent2 2" xfId="73"/>
    <cellStyle name="40% - Accent3" xfId="42" builtinId="39" customBuiltin="1"/>
    <cellStyle name="40% - Accent3 2" xfId="75"/>
    <cellStyle name="40% - Accent4" xfId="46" builtinId="43" customBuiltin="1"/>
    <cellStyle name="40% - Accent4 2" xfId="77"/>
    <cellStyle name="40% - Accent5" xfId="50" builtinId="47" customBuiltin="1"/>
    <cellStyle name="40% - Accent5 2" xfId="79"/>
    <cellStyle name="40% - Accent6" xfId="54" builtinId="51" customBuiltin="1"/>
    <cellStyle name="40% - Accent6 2" xfId="8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3" builtinId="27" customBuiltin="1"/>
    <cellStyle name="Calculation" xfId="27" builtinId="22" customBuiltin="1"/>
    <cellStyle name="Check Cell" xfId="29" builtinId="23" customBuiltin="1"/>
    <cellStyle name="Comma 2" xfId="1"/>
    <cellStyle name="Comma 2 2" xfId="2"/>
    <cellStyle name="Comma 2 3" xfId="61"/>
    <cellStyle name="Comma 3" xfId="57"/>
    <cellStyle name="Comma0" xfId="3"/>
    <cellStyle name="Currency 2" xfId="4"/>
    <cellStyle name="Currency 2 2" xfId="5"/>
    <cellStyle name="Currency 2 3" xfId="62"/>
    <cellStyle name="Currency 3" xfId="58"/>
    <cellStyle name="Currency0" xfId="6"/>
    <cellStyle name="Date" xfId="7"/>
    <cellStyle name="Explanatory Text" xfId="31" builtinId="53" customBuiltin="1"/>
    <cellStyle name="Fixed" xfId="8"/>
    <cellStyle name="Good" xfId="22" builtinId="26" customBuiltin="1"/>
    <cellStyle name="Heading 1 2" xfId="9"/>
    <cellStyle name="Heading 1 2 2" xfId="65"/>
    <cellStyle name="Heading 2 2" xfId="10"/>
    <cellStyle name="Heading 2 2 2" xfId="66"/>
    <cellStyle name="Heading 3" xfId="20" builtinId="18" customBuiltin="1"/>
    <cellStyle name="Heading 4" xfId="21" builtinId="19" customBuiltin="1"/>
    <cellStyle name="Hyperlink" xfId="11" builtinId="8"/>
    <cellStyle name="Hyperlink 2" xfId="12"/>
    <cellStyle name="Input" xfId="25" builtinId="20" customBuiltin="1"/>
    <cellStyle name="Linked Cell" xfId="28" builtinId="24" customBuiltin="1"/>
    <cellStyle name="Neutral" xfId="24" builtinId="28" customBuiltin="1"/>
    <cellStyle name="Normal" xfId="0" builtinId="0"/>
    <cellStyle name="Normal 2" xfId="13"/>
    <cellStyle name="Normal 2 2" xfId="59"/>
    <cellStyle name="Normal 3" xfId="64"/>
    <cellStyle name="Normal 3 2" xfId="82"/>
    <cellStyle name="Normal 4" xfId="56"/>
    <cellStyle name="Note 2" xfId="67"/>
    <cellStyle name="Note 2 2" xfId="83"/>
    <cellStyle name="Output" xfId="26" builtinId="21" customBuiltin="1"/>
    <cellStyle name="Percent" xfId="14" builtinId="5"/>
    <cellStyle name="Percent 2" xfId="15"/>
    <cellStyle name="Percent 2 2" xfId="16"/>
    <cellStyle name="Percent 2 2 2" xfId="60"/>
    <cellStyle name="Percent 2 3" xfId="63"/>
    <cellStyle name="Percent 3" xfId="17"/>
    <cellStyle name="Percent 3 2" xfId="68"/>
    <cellStyle name="Percent 3 3" xfId="84"/>
    <cellStyle name="Percent 4" xfId="85"/>
    <cellStyle name="Title" xfId="19" builtinId="15" customBuiltin="1"/>
    <cellStyle name="Total 2" xfId="18"/>
    <cellStyle name="Total 2 2" xfId="69"/>
    <cellStyle name="Warning Text" xfId="30" builtinId="11" customBuiltin="1"/>
  </cellStyles>
  <dxfs count="0"/>
  <tableStyles count="0" defaultTableStyle="TableStyleMedium9" defaultPivotStyle="PivotStyleLight16"/>
  <colors>
    <mruColors>
      <color rgb="FFFFFF99"/>
      <color rgb="FFC0C0C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1076325</xdr:colOff>
      <xdr:row>1</xdr:row>
      <xdr:rowOff>38101</xdr:rowOff>
    </xdr:from>
    <xdr:to>
      <xdr:col>5</xdr:col>
      <xdr:colOff>85725</xdr:colOff>
      <xdr:row>4</xdr:row>
      <xdr:rowOff>152401</xdr:rowOff>
    </xdr:to>
    <xdr:sp macro="" textlink="">
      <xdr:nvSpPr>
        <xdr:cNvPr id="2" name="TextBox 1"/>
        <xdr:cNvSpPr txBox="1"/>
      </xdr:nvSpPr>
      <xdr:spPr>
        <a:xfrm>
          <a:off x="3838575" y="228601"/>
          <a:ext cx="137160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</a:rPr>
            <a:t>This tab is for internal OSPA/SPA</a:t>
          </a:r>
          <a:r>
            <a:rPr lang="en-US" sz="1100" b="1" baseline="0">
              <a:solidFill>
                <a:srgbClr val="FF0000"/>
              </a:solidFill>
            </a:rPr>
            <a:t> use only.  </a:t>
          </a:r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6-NIH_complete_budget-09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spa.iastate.edu/Documents%20and%20Settings/bmneese/Local%20Settings/Temporary%20Internet%20Files/Content.Outlook/QHP08TJ8/BOB-2011-06-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 Page"/>
      <sheetName val="Base Budget"/>
      <sheetName val="Mod Budget Form"/>
      <sheetName val="Form Page 4"/>
      <sheetName val="Form Page 5"/>
      <sheetName val="Checklist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"/>
      <sheetName val="Salaries &amp; Wages"/>
      <sheetName val="Equip-Travel-Participants"/>
      <sheetName val="Other Direct"/>
      <sheetName val="Subcontracts"/>
      <sheetName val="Cumulative Budget"/>
      <sheetName val="Links"/>
      <sheetName val="Sheet1"/>
      <sheetName val="Salaries &amp;#38;#38;#38; Wages"/>
    </sheetNames>
    <sheetDataSet>
      <sheetData sheetId="0">
        <row r="10">
          <cell r="I1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college.iastate.edu/post_doc/policies.ph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4"/>
    <pageSetUpPr fitToPage="1"/>
  </sheetPr>
  <dimension ref="A1:U135"/>
  <sheetViews>
    <sheetView tabSelected="1" zoomScale="82" zoomScaleNormal="82" workbookViewId="0">
      <pane ySplit="12" topLeftCell="A70" activePane="bottomLeft" state="frozen"/>
      <selection pane="bottomLeft" activeCell="S2" sqref="S2:T2"/>
    </sheetView>
  </sheetViews>
  <sheetFormatPr defaultColWidth="8.88671875" defaultRowHeight="13.2" x14ac:dyDescent="0.25"/>
  <cols>
    <col min="1" max="1" width="5" style="77" customWidth="1"/>
    <col min="2" max="2" width="3.109375" style="77" customWidth="1"/>
    <col min="3" max="3" width="27.44140625" style="77" customWidth="1"/>
    <col min="4" max="4" width="11.109375" style="77" customWidth="1"/>
    <col min="5" max="5" width="12.6640625" style="77" customWidth="1"/>
    <col min="6" max="6" width="13" style="77" customWidth="1"/>
    <col min="7" max="7" width="14.33203125" style="77" customWidth="1"/>
    <col min="8" max="9" width="14.88671875" style="77" customWidth="1"/>
    <col min="10" max="15" width="15" style="77" customWidth="1"/>
    <col min="16" max="17" width="14.88671875" style="77" customWidth="1"/>
    <col min="18" max="20" width="15.44140625" style="77" customWidth="1"/>
    <col min="21" max="21" width="11.33203125" style="1" bestFit="1" customWidth="1"/>
  </cols>
  <sheetData>
    <row r="1" spans="1:21" ht="17.399999999999999" x14ac:dyDescent="0.3">
      <c r="A1" s="238" t="s">
        <v>83</v>
      </c>
      <c r="B1" s="239"/>
      <c r="C1" s="239"/>
      <c r="D1" s="239"/>
      <c r="E1" s="239"/>
      <c r="F1" s="239"/>
      <c r="G1" s="239"/>
      <c r="H1" s="240"/>
      <c r="I1" s="240"/>
      <c r="J1" s="240"/>
      <c r="K1" s="240"/>
      <c r="L1" s="240"/>
      <c r="M1" s="240"/>
      <c r="N1" s="240"/>
      <c r="O1" s="240"/>
      <c r="P1" s="241"/>
      <c r="Q1" s="241"/>
      <c r="R1" s="241"/>
      <c r="S1" s="327" t="s">
        <v>221</v>
      </c>
      <c r="T1" s="328"/>
    </row>
    <row r="2" spans="1:21" ht="17.399999999999999" x14ac:dyDescent="0.3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41"/>
      <c r="Q2" s="241"/>
      <c r="R2" s="241"/>
      <c r="S2" s="331" t="s">
        <v>237</v>
      </c>
      <c r="T2" s="332"/>
      <c r="U2" s="103"/>
    </row>
    <row r="3" spans="1:21" ht="15.6" x14ac:dyDescent="0.3">
      <c r="A3" s="242" t="s">
        <v>0</v>
      </c>
      <c r="B3" s="242"/>
      <c r="C3" s="242"/>
      <c r="D3" s="242"/>
      <c r="E3" s="322" t="s">
        <v>216</v>
      </c>
      <c r="F3" s="323"/>
      <c r="G3" s="247">
        <v>42917</v>
      </c>
      <c r="H3" s="241"/>
      <c r="I3" s="251" t="s">
        <v>222</v>
      </c>
      <c r="J3" s="242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1" ht="15.75" customHeight="1" x14ac:dyDescent="0.3">
      <c r="A4" s="242" t="s">
        <v>1</v>
      </c>
      <c r="B4" s="242"/>
      <c r="C4" s="242"/>
      <c r="D4" s="242"/>
      <c r="E4" s="242" t="s">
        <v>215</v>
      </c>
      <c r="F4" s="248"/>
      <c r="G4" s="321">
        <v>0</v>
      </c>
      <c r="H4" s="241"/>
      <c r="I4" s="252" t="s">
        <v>223</v>
      </c>
      <c r="J4" s="252"/>
      <c r="K4" s="253"/>
      <c r="L4" s="253"/>
      <c r="M4" s="253"/>
      <c r="N4" s="253"/>
      <c r="O4" s="253"/>
      <c r="P4" s="253"/>
      <c r="Q4" s="253"/>
      <c r="R4" s="253"/>
      <c r="S4" s="241"/>
      <c r="T4" s="241"/>
      <c r="U4" s="315" t="s">
        <v>218</v>
      </c>
    </row>
    <row r="5" spans="1:21" ht="15.6" x14ac:dyDescent="0.3">
      <c r="A5" s="242" t="s">
        <v>2</v>
      </c>
      <c r="B5" s="242"/>
      <c r="C5" s="242"/>
      <c r="D5" s="242"/>
      <c r="E5" s="242" t="s">
        <v>217</v>
      </c>
      <c r="F5" s="242"/>
      <c r="G5" s="249" t="s">
        <v>218</v>
      </c>
      <c r="H5" s="250"/>
      <c r="I5" s="254" t="s">
        <v>224</v>
      </c>
      <c r="J5" s="252"/>
      <c r="K5" s="253"/>
      <c r="L5" s="253"/>
      <c r="M5" s="253"/>
      <c r="N5" s="253"/>
      <c r="O5" s="253"/>
      <c r="P5" s="253"/>
      <c r="Q5" s="253"/>
      <c r="R5" s="253"/>
      <c r="S5" s="241"/>
      <c r="T5" s="241"/>
      <c r="U5" s="315" t="s">
        <v>219</v>
      </c>
    </row>
    <row r="6" spans="1:21" ht="15.6" x14ac:dyDescent="0.3">
      <c r="A6" s="242" t="s">
        <v>3</v>
      </c>
      <c r="B6" s="242"/>
      <c r="C6" s="242"/>
      <c r="D6" s="242"/>
      <c r="E6" s="242"/>
      <c r="F6" s="242"/>
      <c r="G6" s="242"/>
      <c r="H6" s="241"/>
      <c r="I6" s="254" t="s">
        <v>225</v>
      </c>
      <c r="J6" s="252"/>
      <c r="K6" s="253"/>
      <c r="L6" s="253"/>
      <c r="M6" s="253"/>
      <c r="N6" s="253"/>
      <c r="O6" s="253"/>
      <c r="P6" s="253"/>
      <c r="Q6" s="253"/>
      <c r="R6" s="253"/>
      <c r="S6" s="241"/>
      <c r="T6" s="241"/>
      <c r="U6" s="315" t="s">
        <v>220</v>
      </c>
    </row>
    <row r="7" spans="1:21" ht="15.6" x14ac:dyDescent="0.3">
      <c r="A7" s="242" t="s">
        <v>4</v>
      </c>
      <c r="B7" s="242"/>
      <c r="C7" s="242"/>
      <c r="D7" s="243"/>
      <c r="E7" s="243"/>
      <c r="F7" s="243"/>
      <c r="G7" s="243"/>
      <c r="H7" s="241"/>
      <c r="I7" s="254"/>
      <c r="J7" s="255" t="s">
        <v>226</v>
      </c>
      <c r="K7" s="253"/>
      <c r="L7" s="253"/>
      <c r="M7" s="253"/>
      <c r="N7" s="253"/>
      <c r="O7" s="253"/>
      <c r="P7" s="253"/>
      <c r="Q7" s="253"/>
      <c r="R7" s="253"/>
      <c r="S7" s="244"/>
      <c r="T7" s="244"/>
      <c r="U7" s="315"/>
    </row>
    <row r="8" spans="1:21" ht="8.1" customHeight="1" x14ac:dyDescent="0.25">
      <c r="A8" s="27"/>
      <c r="B8" s="27"/>
      <c r="C8" s="27"/>
      <c r="D8" s="27"/>
      <c r="E8" s="27"/>
      <c r="F8" s="27"/>
      <c r="G8" s="27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7"/>
      <c r="S8" s="27"/>
      <c r="T8" s="27"/>
    </row>
    <row r="9" spans="1:21" ht="15.75" customHeight="1" x14ac:dyDescent="0.3">
      <c r="A9" s="27"/>
      <c r="B9" s="27"/>
      <c r="C9" s="27"/>
      <c r="D9" s="27"/>
      <c r="E9" s="27"/>
      <c r="F9" s="28"/>
      <c r="G9" s="29"/>
      <c r="H9" s="329" t="s">
        <v>5</v>
      </c>
      <c r="I9" s="330"/>
      <c r="J9" s="329" t="s">
        <v>44</v>
      </c>
      <c r="K9" s="330"/>
      <c r="L9" s="329" t="s">
        <v>50</v>
      </c>
      <c r="M9" s="330"/>
      <c r="N9" s="329" t="s">
        <v>49</v>
      </c>
      <c r="O9" s="330"/>
      <c r="P9" s="329" t="s">
        <v>48</v>
      </c>
      <c r="Q9" s="330"/>
      <c r="R9" s="324" t="s">
        <v>97</v>
      </c>
      <c r="S9" s="324" t="s">
        <v>98</v>
      </c>
      <c r="T9" s="324" t="s">
        <v>99</v>
      </c>
    </row>
    <row r="10" spans="1:21" s="155" customFormat="1" ht="15.75" customHeight="1" x14ac:dyDescent="0.3">
      <c r="A10" s="27"/>
      <c r="B10" s="27"/>
      <c r="C10" s="27"/>
      <c r="D10" s="27"/>
      <c r="E10" s="27"/>
      <c r="F10" s="28"/>
      <c r="G10" s="29"/>
      <c r="H10" s="245" t="s">
        <v>212</v>
      </c>
      <c r="I10" s="246" t="s">
        <v>213</v>
      </c>
      <c r="J10" s="245" t="s">
        <v>212</v>
      </c>
      <c r="K10" s="245" t="s">
        <v>213</v>
      </c>
      <c r="L10" s="245" t="s">
        <v>212</v>
      </c>
      <c r="M10" s="245" t="s">
        <v>213</v>
      </c>
      <c r="N10" s="245" t="s">
        <v>214</v>
      </c>
      <c r="O10" s="245" t="s">
        <v>213</v>
      </c>
      <c r="P10" s="245" t="s">
        <v>212</v>
      </c>
      <c r="Q10" s="245" t="s">
        <v>213</v>
      </c>
      <c r="R10" s="325"/>
      <c r="S10" s="325"/>
      <c r="T10" s="325"/>
      <c r="U10" s="1"/>
    </row>
    <row r="11" spans="1:21" s="155" customFormat="1" ht="15.75" customHeight="1" x14ac:dyDescent="0.3">
      <c r="A11" s="27"/>
      <c r="B11" s="27"/>
      <c r="C11" s="27"/>
      <c r="D11" s="27"/>
      <c r="E11" s="27"/>
      <c r="F11" s="28"/>
      <c r="G11" s="29"/>
      <c r="H11" s="234">
        <f>DATE(YEAR(G3),MONTH(G3),DAY(G3))</f>
        <v>42917</v>
      </c>
      <c r="I11" s="234">
        <f>J11-1</f>
        <v>43281</v>
      </c>
      <c r="J11" s="234">
        <f>DATE(YEAR(G3)+1,MONTH(G3),DAY(G3))</f>
        <v>43282</v>
      </c>
      <c r="K11" s="234">
        <f>L11-1</f>
        <v>43646</v>
      </c>
      <c r="L11" s="234">
        <f>DATE(YEAR(G3)+2,MONTH(G3),DAY(G3))</f>
        <v>43647</v>
      </c>
      <c r="M11" s="234">
        <f>N11-1</f>
        <v>44012</v>
      </c>
      <c r="N11" s="256">
        <f>DATE(YEAR(G3)+3,MONTH(G3),DAY(G3))</f>
        <v>44013</v>
      </c>
      <c r="O11" s="234">
        <f>P11-1</f>
        <v>44377</v>
      </c>
      <c r="P11" s="234">
        <f>DATE(YEAR(G3)+4,MONTH(G3),DAY(G3))</f>
        <v>44378</v>
      </c>
      <c r="Q11" s="234">
        <f>P11+364</f>
        <v>44742</v>
      </c>
      <c r="R11" s="325"/>
      <c r="S11" s="325"/>
      <c r="T11" s="325"/>
      <c r="U11" s="1"/>
    </row>
    <row r="12" spans="1:21" ht="23.4" x14ac:dyDescent="0.25">
      <c r="A12" s="27"/>
      <c r="B12" s="27"/>
      <c r="C12" s="27"/>
      <c r="D12" s="27"/>
      <c r="E12" s="27"/>
      <c r="F12" s="30"/>
      <c r="G12" s="30"/>
      <c r="H12" s="109" t="s">
        <v>95</v>
      </c>
      <c r="I12" s="31" t="s">
        <v>96</v>
      </c>
      <c r="J12" s="109" t="s">
        <v>95</v>
      </c>
      <c r="K12" s="31" t="s">
        <v>96</v>
      </c>
      <c r="L12" s="109" t="s">
        <v>95</v>
      </c>
      <c r="M12" s="31" t="s">
        <v>96</v>
      </c>
      <c r="N12" s="109" t="s">
        <v>95</v>
      </c>
      <c r="O12" s="31" t="s">
        <v>96</v>
      </c>
      <c r="P12" s="109" t="s">
        <v>95</v>
      </c>
      <c r="Q12" s="31" t="s">
        <v>96</v>
      </c>
      <c r="R12" s="326"/>
      <c r="S12" s="326"/>
      <c r="T12" s="326"/>
    </row>
    <row r="13" spans="1:21" ht="15" x14ac:dyDescent="0.25">
      <c r="A13" s="27"/>
      <c r="B13" s="27"/>
      <c r="C13" s="27"/>
      <c r="D13" s="32" t="s">
        <v>6</v>
      </c>
      <c r="E13" s="33" t="s">
        <v>12</v>
      </c>
      <c r="F13" s="33" t="s">
        <v>94</v>
      </c>
      <c r="G13" s="32" t="s">
        <v>7</v>
      </c>
      <c r="H13" s="232"/>
      <c r="I13" s="316"/>
      <c r="J13" s="317"/>
      <c r="K13" s="317"/>
      <c r="L13" s="317"/>
      <c r="M13" s="317"/>
      <c r="N13" s="317"/>
      <c r="O13" s="317"/>
      <c r="P13" s="317"/>
      <c r="Q13" s="317"/>
      <c r="R13" s="14"/>
      <c r="S13" s="320"/>
      <c r="T13" s="14"/>
    </row>
    <row r="14" spans="1:21" ht="15.6" x14ac:dyDescent="0.3">
      <c r="A14" s="34" t="s">
        <v>8</v>
      </c>
      <c r="B14" s="35"/>
      <c r="C14" s="36" t="s">
        <v>9</v>
      </c>
      <c r="D14" s="32" t="s">
        <v>10</v>
      </c>
      <c r="E14" s="32" t="s">
        <v>11</v>
      </c>
      <c r="F14" s="32" t="s">
        <v>11</v>
      </c>
      <c r="G14" s="32" t="s">
        <v>11</v>
      </c>
      <c r="H14" s="37">
        <f t="shared" ref="H14:Q14" si="0">SUM(H15:H23)</f>
        <v>0</v>
      </c>
      <c r="I14" s="38">
        <f t="shared" si="0"/>
        <v>0</v>
      </c>
      <c r="J14" s="37">
        <f t="shared" si="0"/>
        <v>0</v>
      </c>
      <c r="K14" s="38">
        <f t="shared" si="0"/>
        <v>0</v>
      </c>
      <c r="L14" s="37">
        <f t="shared" si="0"/>
        <v>0</v>
      </c>
      <c r="M14" s="38">
        <f t="shared" si="0"/>
        <v>0</v>
      </c>
      <c r="N14" s="37">
        <f t="shared" si="0"/>
        <v>0</v>
      </c>
      <c r="O14" s="39">
        <f t="shared" si="0"/>
        <v>0</v>
      </c>
      <c r="P14" s="40">
        <f t="shared" si="0"/>
        <v>0</v>
      </c>
      <c r="Q14" s="39">
        <f t="shared" si="0"/>
        <v>0</v>
      </c>
      <c r="R14" s="15">
        <f>SUM(H14+J14+L14+N14+P14)</f>
        <v>0</v>
      </c>
      <c r="S14" s="16">
        <f>SUM(I14+K14+M14+O14+Q14)</f>
        <v>0</v>
      </c>
      <c r="T14" s="15">
        <f>SUM(R14+S14)</f>
        <v>0</v>
      </c>
      <c r="U14" s="2"/>
    </row>
    <row r="15" spans="1:21" ht="15.6" x14ac:dyDescent="0.3">
      <c r="A15" s="34"/>
      <c r="B15" s="27">
        <v>1</v>
      </c>
      <c r="C15" s="110"/>
      <c r="D15" s="76">
        <v>0</v>
      </c>
      <c r="E15" s="105">
        <v>0</v>
      </c>
      <c r="F15" s="105">
        <v>0</v>
      </c>
      <c r="G15" s="105">
        <v>0</v>
      </c>
      <c r="H15" s="106">
        <f t="shared" ref="H15:H23" si="1">D15*(E15+F15+G15)</f>
        <v>0</v>
      </c>
      <c r="I15" s="25">
        <v>0</v>
      </c>
      <c r="J15" s="106">
        <f>ROUND(H15*1.03,0)</f>
        <v>0</v>
      </c>
      <c r="K15" s="25">
        <v>0</v>
      </c>
      <c r="L15" s="106">
        <f>ROUND(J15*1.03,0)</f>
        <v>0</v>
      </c>
      <c r="M15" s="25">
        <v>0</v>
      </c>
      <c r="N15" s="106">
        <f>ROUND(L15*1.03,0)</f>
        <v>0</v>
      </c>
      <c r="O15" s="25">
        <v>0</v>
      </c>
      <c r="P15" s="107">
        <f>ROUND(N15*1.03,0)</f>
        <v>0</v>
      </c>
      <c r="Q15" s="25">
        <v>0</v>
      </c>
      <c r="R15" s="108">
        <f>SUM(H15+J15+L15+N15+P15)</f>
        <v>0</v>
      </c>
      <c r="S15" s="17">
        <f t="shared" ref="S15:S23" si="2">SUM(I15+K15+M15+O15+Q15)</f>
        <v>0</v>
      </c>
      <c r="T15" s="108">
        <f>SUM(R15+S15)</f>
        <v>0</v>
      </c>
    </row>
    <row r="16" spans="1:21" ht="15.6" x14ac:dyDescent="0.3">
      <c r="A16" s="34"/>
      <c r="B16" s="27">
        <v>2</v>
      </c>
      <c r="C16" s="117"/>
      <c r="D16" s="76">
        <v>0</v>
      </c>
      <c r="E16" s="105">
        <v>0</v>
      </c>
      <c r="F16" s="105">
        <v>0</v>
      </c>
      <c r="G16" s="105">
        <v>0</v>
      </c>
      <c r="H16" s="106">
        <f t="shared" si="1"/>
        <v>0</v>
      </c>
      <c r="I16" s="25">
        <v>0</v>
      </c>
      <c r="J16" s="106">
        <f t="shared" ref="J16:J23" si="3">ROUND(H16*1.03,0)</f>
        <v>0</v>
      </c>
      <c r="K16" s="25">
        <v>0</v>
      </c>
      <c r="L16" s="106">
        <f t="shared" ref="L16:L23" si="4">ROUND(J16*1.03,0)</f>
        <v>0</v>
      </c>
      <c r="M16" s="25">
        <v>0</v>
      </c>
      <c r="N16" s="106">
        <f t="shared" ref="N16:N23" si="5">ROUND(L16*1.03,0)</f>
        <v>0</v>
      </c>
      <c r="O16" s="25">
        <v>0</v>
      </c>
      <c r="P16" s="107">
        <f t="shared" ref="P16:P23" si="6">ROUND(N16*1.03,0)</f>
        <v>0</v>
      </c>
      <c r="Q16" s="25">
        <v>0</v>
      </c>
      <c r="R16" s="108">
        <f t="shared" ref="R16:R23" si="7">SUM(H16+J16+L16+N16+P16)</f>
        <v>0</v>
      </c>
      <c r="S16" s="17">
        <f t="shared" si="2"/>
        <v>0</v>
      </c>
      <c r="T16" s="108">
        <f t="shared" ref="T16:T23" si="8">SUM(R16+S16)</f>
        <v>0</v>
      </c>
    </row>
    <row r="17" spans="1:21" ht="15.6" x14ac:dyDescent="0.3">
      <c r="A17" s="34"/>
      <c r="B17" s="27">
        <v>3</v>
      </c>
      <c r="C17" s="104"/>
      <c r="D17" s="76">
        <v>0</v>
      </c>
      <c r="E17" s="105">
        <v>0</v>
      </c>
      <c r="F17" s="105">
        <v>0</v>
      </c>
      <c r="G17" s="105">
        <v>0</v>
      </c>
      <c r="H17" s="106">
        <f t="shared" si="1"/>
        <v>0</v>
      </c>
      <c r="I17" s="25">
        <v>0</v>
      </c>
      <c r="J17" s="106">
        <f t="shared" si="3"/>
        <v>0</v>
      </c>
      <c r="K17" s="25">
        <v>0</v>
      </c>
      <c r="L17" s="106">
        <f t="shared" si="4"/>
        <v>0</v>
      </c>
      <c r="M17" s="25">
        <v>0</v>
      </c>
      <c r="N17" s="106">
        <f t="shared" si="5"/>
        <v>0</v>
      </c>
      <c r="O17" s="25">
        <v>0</v>
      </c>
      <c r="P17" s="107">
        <f t="shared" si="6"/>
        <v>0</v>
      </c>
      <c r="Q17" s="25">
        <v>0</v>
      </c>
      <c r="R17" s="108">
        <f t="shared" si="7"/>
        <v>0</v>
      </c>
      <c r="S17" s="17">
        <f t="shared" si="2"/>
        <v>0</v>
      </c>
      <c r="T17" s="108">
        <f t="shared" si="8"/>
        <v>0</v>
      </c>
      <c r="U17" s="13"/>
    </row>
    <row r="18" spans="1:21" ht="15.6" x14ac:dyDescent="0.3">
      <c r="A18" s="34"/>
      <c r="B18" s="27">
        <v>4</v>
      </c>
      <c r="C18" s="104"/>
      <c r="D18" s="76">
        <v>0</v>
      </c>
      <c r="E18" s="105">
        <v>0</v>
      </c>
      <c r="F18" s="105">
        <v>0</v>
      </c>
      <c r="G18" s="105">
        <v>0</v>
      </c>
      <c r="H18" s="106">
        <f t="shared" si="1"/>
        <v>0</v>
      </c>
      <c r="I18" s="25">
        <v>0</v>
      </c>
      <c r="J18" s="106">
        <f t="shared" si="3"/>
        <v>0</v>
      </c>
      <c r="K18" s="25">
        <v>0</v>
      </c>
      <c r="L18" s="106">
        <f t="shared" si="4"/>
        <v>0</v>
      </c>
      <c r="M18" s="25">
        <v>0</v>
      </c>
      <c r="N18" s="106">
        <f t="shared" si="5"/>
        <v>0</v>
      </c>
      <c r="O18" s="25">
        <v>0</v>
      </c>
      <c r="P18" s="107">
        <f t="shared" si="6"/>
        <v>0</v>
      </c>
      <c r="Q18" s="25">
        <v>0</v>
      </c>
      <c r="R18" s="108">
        <f t="shared" si="7"/>
        <v>0</v>
      </c>
      <c r="S18" s="17">
        <f t="shared" si="2"/>
        <v>0</v>
      </c>
      <c r="T18" s="108">
        <f t="shared" si="8"/>
        <v>0</v>
      </c>
    </row>
    <row r="19" spans="1:21" ht="15.6" x14ac:dyDescent="0.3">
      <c r="A19" s="34"/>
      <c r="B19" s="27">
        <v>5</v>
      </c>
      <c r="C19" s="104"/>
      <c r="D19" s="76">
        <v>0</v>
      </c>
      <c r="E19" s="105">
        <v>0</v>
      </c>
      <c r="F19" s="105">
        <v>0</v>
      </c>
      <c r="G19" s="105">
        <v>0</v>
      </c>
      <c r="H19" s="106">
        <f t="shared" si="1"/>
        <v>0</v>
      </c>
      <c r="I19" s="25">
        <v>0</v>
      </c>
      <c r="J19" s="106">
        <f t="shared" si="3"/>
        <v>0</v>
      </c>
      <c r="K19" s="25">
        <v>0</v>
      </c>
      <c r="L19" s="106">
        <f t="shared" si="4"/>
        <v>0</v>
      </c>
      <c r="M19" s="25">
        <v>0</v>
      </c>
      <c r="N19" s="106">
        <f t="shared" si="5"/>
        <v>0</v>
      </c>
      <c r="O19" s="25">
        <v>0</v>
      </c>
      <c r="P19" s="107">
        <f t="shared" si="6"/>
        <v>0</v>
      </c>
      <c r="Q19" s="25">
        <v>0</v>
      </c>
      <c r="R19" s="108">
        <f t="shared" si="7"/>
        <v>0</v>
      </c>
      <c r="S19" s="17">
        <f t="shared" si="2"/>
        <v>0</v>
      </c>
      <c r="T19" s="108">
        <f t="shared" si="8"/>
        <v>0</v>
      </c>
    </row>
    <row r="20" spans="1:21" ht="15.6" x14ac:dyDescent="0.3">
      <c r="A20" s="34"/>
      <c r="B20" s="27">
        <v>6</v>
      </c>
      <c r="C20" s="104"/>
      <c r="D20" s="76">
        <v>0</v>
      </c>
      <c r="E20" s="105">
        <v>0</v>
      </c>
      <c r="F20" s="105">
        <v>0</v>
      </c>
      <c r="G20" s="105">
        <v>0</v>
      </c>
      <c r="H20" s="106">
        <f t="shared" si="1"/>
        <v>0</v>
      </c>
      <c r="I20" s="25">
        <v>0</v>
      </c>
      <c r="J20" s="106">
        <f t="shared" si="3"/>
        <v>0</v>
      </c>
      <c r="K20" s="25">
        <v>0</v>
      </c>
      <c r="L20" s="106">
        <f t="shared" si="4"/>
        <v>0</v>
      </c>
      <c r="M20" s="25">
        <v>0</v>
      </c>
      <c r="N20" s="106">
        <f t="shared" si="5"/>
        <v>0</v>
      </c>
      <c r="O20" s="25">
        <v>0</v>
      </c>
      <c r="P20" s="107">
        <f t="shared" si="6"/>
        <v>0</v>
      </c>
      <c r="Q20" s="25">
        <v>0</v>
      </c>
      <c r="R20" s="108">
        <f t="shared" si="7"/>
        <v>0</v>
      </c>
      <c r="S20" s="17">
        <f t="shared" si="2"/>
        <v>0</v>
      </c>
      <c r="T20" s="108">
        <f t="shared" si="8"/>
        <v>0</v>
      </c>
    </row>
    <row r="21" spans="1:21" ht="15.6" x14ac:dyDescent="0.3">
      <c r="A21" s="34"/>
      <c r="B21" s="27">
        <v>7</v>
      </c>
      <c r="C21" s="104"/>
      <c r="D21" s="76">
        <v>0</v>
      </c>
      <c r="E21" s="105">
        <v>0</v>
      </c>
      <c r="F21" s="105">
        <v>0</v>
      </c>
      <c r="G21" s="105">
        <v>0</v>
      </c>
      <c r="H21" s="106">
        <f t="shared" si="1"/>
        <v>0</v>
      </c>
      <c r="I21" s="25">
        <v>0</v>
      </c>
      <c r="J21" s="106">
        <f t="shared" si="3"/>
        <v>0</v>
      </c>
      <c r="K21" s="25">
        <v>0</v>
      </c>
      <c r="L21" s="106">
        <f t="shared" si="4"/>
        <v>0</v>
      </c>
      <c r="M21" s="25">
        <v>0</v>
      </c>
      <c r="N21" s="106">
        <f t="shared" si="5"/>
        <v>0</v>
      </c>
      <c r="O21" s="25">
        <v>0</v>
      </c>
      <c r="P21" s="107">
        <f t="shared" si="6"/>
        <v>0</v>
      </c>
      <c r="Q21" s="25">
        <v>0</v>
      </c>
      <c r="R21" s="108">
        <f t="shared" si="7"/>
        <v>0</v>
      </c>
      <c r="S21" s="17">
        <f t="shared" si="2"/>
        <v>0</v>
      </c>
      <c r="T21" s="108">
        <f t="shared" si="8"/>
        <v>0</v>
      </c>
    </row>
    <row r="22" spans="1:21" ht="15.6" x14ac:dyDescent="0.3">
      <c r="A22" s="34"/>
      <c r="B22" s="27">
        <v>8</v>
      </c>
      <c r="C22" s="104"/>
      <c r="D22" s="76">
        <v>0</v>
      </c>
      <c r="E22" s="105">
        <v>0</v>
      </c>
      <c r="F22" s="105">
        <v>0</v>
      </c>
      <c r="G22" s="105">
        <v>0</v>
      </c>
      <c r="H22" s="106">
        <f t="shared" si="1"/>
        <v>0</v>
      </c>
      <c r="I22" s="25">
        <v>0</v>
      </c>
      <c r="J22" s="106">
        <f t="shared" si="3"/>
        <v>0</v>
      </c>
      <c r="K22" s="25">
        <v>0</v>
      </c>
      <c r="L22" s="106">
        <f t="shared" si="4"/>
        <v>0</v>
      </c>
      <c r="M22" s="25">
        <v>0</v>
      </c>
      <c r="N22" s="106">
        <f t="shared" si="5"/>
        <v>0</v>
      </c>
      <c r="O22" s="25">
        <v>0</v>
      </c>
      <c r="P22" s="107">
        <f t="shared" si="6"/>
        <v>0</v>
      </c>
      <c r="Q22" s="25">
        <v>0</v>
      </c>
      <c r="R22" s="108">
        <f t="shared" si="7"/>
        <v>0</v>
      </c>
      <c r="S22" s="17">
        <f t="shared" si="2"/>
        <v>0</v>
      </c>
      <c r="T22" s="108">
        <f t="shared" si="8"/>
        <v>0</v>
      </c>
    </row>
    <row r="23" spans="1:21" x14ac:dyDescent="0.25">
      <c r="A23" s="27"/>
      <c r="B23" s="27">
        <v>9</v>
      </c>
      <c r="C23" s="110"/>
      <c r="D23" s="76">
        <v>0</v>
      </c>
      <c r="E23" s="105">
        <v>0</v>
      </c>
      <c r="F23" s="105">
        <v>0</v>
      </c>
      <c r="G23" s="105">
        <v>0</v>
      </c>
      <c r="H23" s="106">
        <f t="shared" si="1"/>
        <v>0</v>
      </c>
      <c r="I23" s="25">
        <v>0</v>
      </c>
      <c r="J23" s="106">
        <f t="shared" si="3"/>
        <v>0</v>
      </c>
      <c r="K23" s="25">
        <v>0</v>
      </c>
      <c r="L23" s="106">
        <f t="shared" si="4"/>
        <v>0</v>
      </c>
      <c r="M23" s="25">
        <v>0</v>
      </c>
      <c r="N23" s="106">
        <f t="shared" si="5"/>
        <v>0</v>
      </c>
      <c r="O23" s="25">
        <v>0</v>
      </c>
      <c r="P23" s="107">
        <f t="shared" si="6"/>
        <v>0</v>
      </c>
      <c r="Q23" s="25">
        <v>0</v>
      </c>
      <c r="R23" s="108">
        <f t="shared" si="7"/>
        <v>0</v>
      </c>
      <c r="S23" s="17">
        <f t="shared" si="2"/>
        <v>0</v>
      </c>
      <c r="T23" s="108">
        <f t="shared" si="8"/>
        <v>0</v>
      </c>
      <c r="U23" s="2"/>
    </row>
    <row r="24" spans="1:21" s="6" customFormat="1" ht="15" x14ac:dyDescent="0.25">
      <c r="A24" s="44"/>
      <c r="B24" s="44"/>
      <c r="C24" s="44"/>
      <c r="D24" s="45"/>
      <c r="E24" s="45" t="s">
        <v>12</v>
      </c>
      <c r="F24" s="46"/>
      <c r="G24" s="45" t="s">
        <v>13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21"/>
      <c r="S24" s="21"/>
      <c r="T24" s="21"/>
      <c r="U24" s="24"/>
    </row>
    <row r="25" spans="1:21" ht="15.6" x14ac:dyDescent="0.3">
      <c r="A25" s="34" t="s">
        <v>14</v>
      </c>
      <c r="B25" s="35"/>
      <c r="C25" s="36" t="s">
        <v>15</v>
      </c>
      <c r="D25" s="32" t="s">
        <v>10</v>
      </c>
      <c r="E25" s="32" t="s">
        <v>11</v>
      </c>
      <c r="F25" s="41"/>
      <c r="G25" s="48" t="s">
        <v>90</v>
      </c>
      <c r="H25" s="37">
        <f t="shared" ref="H25:Q25" si="9">SUM(H26:H37)</f>
        <v>0</v>
      </c>
      <c r="I25" s="38">
        <f t="shared" si="9"/>
        <v>0</v>
      </c>
      <c r="J25" s="37">
        <f t="shared" si="9"/>
        <v>0</v>
      </c>
      <c r="K25" s="38">
        <f t="shared" si="9"/>
        <v>0</v>
      </c>
      <c r="L25" s="37">
        <f t="shared" si="9"/>
        <v>0</v>
      </c>
      <c r="M25" s="38">
        <f t="shared" si="9"/>
        <v>0</v>
      </c>
      <c r="N25" s="37">
        <f t="shared" si="9"/>
        <v>0</v>
      </c>
      <c r="O25" s="38">
        <f t="shared" si="9"/>
        <v>0</v>
      </c>
      <c r="P25" s="40">
        <f t="shared" si="9"/>
        <v>0</v>
      </c>
      <c r="Q25" s="38">
        <f t="shared" si="9"/>
        <v>0</v>
      </c>
      <c r="R25" s="15">
        <f>SUM(H25+J25+L25+N25+P25)</f>
        <v>0</v>
      </c>
      <c r="S25" s="16">
        <f>SUM(I25+K25+M25+O25+Q25)</f>
        <v>0</v>
      </c>
      <c r="T25" s="15">
        <f>SUM(R25+S25)</f>
        <v>0</v>
      </c>
    </row>
    <row r="26" spans="1:21" ht="15.6" x14ac:dyDescent="0.3">
      <c r="A26" s="34"/>
      <c r="B26" s="27">
        <v>1</v>
      </c>
      <c r="C26" s="104" t="s">
        <v>16</v>
      </c>
      <c r="D26" s="76">
        <v>0</v>
      </c>
      <c r="E26" s="105">
        <v>0</v>
      </c>
      <c r="F26" s="104"/>
      <c r="G26" s="105">
        <v>0</v>
      </c>
      <c r="H26" s="106">
        <f t="shared" ref="H26:H37" si="10">D26*(E26)*G26</f>
        <v>0</v>
      </c>
      <c r="I26" s="25">
        <v>0</v>
      </c>
      <c r="J26" s="106">
        <f>ROUND(H26*1.03,0)</f>
        <v>0</v>
      </c>
      <c r="K26" s="25">
        <v>0</v>
      </c>
      <c r="L26" s="106">
        <f>ROUND(J26*1.03,0)</f>
        <v>0</v>
      </c>
      <c r="M26" s="25">
        <v>0</v>
      </c>
      <c r="N26" s="106">
        <f>ROUND(L26*1.03,0)</f>
        <v>0</v>
      </c>
      <c r="O26" s="25">
        <v>0</v>
      </c>
      <c r="P26" s="107">
        <f>ROUND(N26*1.03,0)</f>
        <v>0</v>
      </c>
      <c r="Q26" s="25">
        <v>0</v>
      </c>
      <c r="R26" s="108">
        <f t="shared" ref="R26:S37" si="11">SUM(H26+J26+L26+N26+P26)</f>
        <v>0</v>
      </c>
      <c r="S26" s="17">
        <f t="shared" si="11"/>
        <v>0</v>
      </c>
      <c r="T26" s="108">
        <f t="shared" ref="T26:T37" si="12">SUM(R26+S26)</f>
        <v>0</v>
      </c>
    </row>
    <row r="27" spans="1:21" ht="15.6" x14ac:dyDescent="0.3">
      <c r="A27" s="34"/>
      <c r="B27" s="27">
        <v>2</v>
      </c>
      <c r="C27" s="104" t="s">
        <v>16</v>
      </c>
      <c r="D27" s="76">
        <v>0</v>
      </c>
      <c r="E27" s="105">
        <v>0</v>
      </c>
      <c r="F27" s="104"/>
      <c r="G27" s="105">
        <v>0</v>
      </c>
      <c r="H27" s="106">
        <f t="shared" si="10"/>
        <v>0</v>
      </c>
      <c r="I27" s="25">
        <v>0</v>
      </c>
      <c r="J27" s="106">
        <f t="shared" ref="J27:J37" si="13">ROUND(H27*1.03,0)</f>
        <v>0</v>
      </c>
      <c r="K27" s="25">
        <v>0</v>
      </c>
      <c r="L27" s="106">
        <f t="shared" ref="L27:L37" si="14">ROUND(J27*1.03,0)</f>
        <v>0</v>
      </c>
      <c r="M27" s="25">
        <v>0</v>
      </c>
      <c r="N27" s="106">
        <f t="shared" ref="N27:N37" si="15">ROUND(L27*1.03,0)</f>
        <v>0</v>
      </c>
      <c r="O27" s="25">
        <v>0</v>
      </c>
      <c r="P27" s="107">
        <f t="shared" ref="P27:P37" si="16">ROUND(N27*1.03,0)</f>
        <v>0</v>
      </c>
      <c r="Q27" s="25">
        <v>0</v>
      </c>
      <c r="R27" s="108">
        <f t="shared" si="11"/>
        <v>0</v>
      </c>
      <c r="S27" s="17">
        <f t="shared" si="11"/>
        <v>0</v>
      </c>
      <c r="T27" s="108">
        <f t="shared" si="12"/>
        <v>0</v>
      </c>
    </row>
    <row r="28" spans="1:21" ht="15.6" x14ac:dyDescent="0.3">
      <c r="A28" s="34"/>
      <c r="B28" s="27">
        <v>3</v>
      </c>
      <c r="C28" s="104" t="s">
        <v>17</v>
      </c>
      <c r="D28" s="76">
        <v>0</v>
      </c>
      <c r="E28" s="105">
        <v>0</v>
      </c>
      <c r="F28" s="104"/>
      <c r="G28" s="105">
        <v>0</v>
      </c>
      <c r="H28" s="106">
        <f t="shared" si="10"/>
        <v>0</v>
      </c>
      <c r="I28" s="25">
        <v>0</v>
      </c>
      <c r="J28" s="106">
        <f t="shared" si="13"/>
        <v>0</v>
      </c>
      <c r="K28" s="25">
        <v>0</v>
      </c>
      <c r="L28" s="106">
        <f t="shared" si="14"/>
        <v>0</v>
      </c>
      <c r="M28" s="25">
        <v>0</v>
      </c>
      <c r="N28" s="106">
        <f t="shared" si="15"/>
        <v>0</v>
      </c>
      <c r="O28" s="25">
        <v>0</v>
      </c>
      <c r="P28" s="107">
        <f t="shared" si="16"/>
        <v>0</v>
      </c>
      <c r="Q28" s="25">
        <v>0</v>
      </c>
      <c r="R28" s="108">
        <f t="shared" si="11"/>
        <v>0</v>
      </c>
      <c r="S28" s="17">
        <f t="shared" si="11"/>
        <v>0</v>
      </c>
      <c r="T28" s="108">
        <f t="shared" si="12"/>
        <v>0</v>
      </c>
    </row>
    <row r="29" spans="1:21" ht="15.6" x14ac:dyDescent="0.3">
      <c r="A29" s="34"/>
      <c r="B29" s="27">
        <v>4</v>
      </c>
      <c r="C29" s="104" t="s">
        <v>17</v>
      </c>
      <c r="D29" s="76">
        <v>0</v>
      </c>
      <c r="E29" s="105">
        <v>0</v>
      </c>
      <c r="F29" s="104"/>
      <c r="G29" s="105">
        <v>0</v>
      </c>
      <c r="H29" s="106">
        <f t="shared" si="10"/>
        <v>0</v>
      </c>
      <c r="I29" s="25">
        <v>0</v>
      </c>
      <c r="J29" s="106">
        <f t="shared" si="13"/>
        <v>0</v>
      </c>
      <c r="K29" s="25">
        <v>0</v>
      </c>
      <c r="L29" s="106">
        <f t="shared" si="14"/>
        <v>0</v>
      </c>
      <c r="M29" s="25">
        <v>0</v>
      </c>
      <c r="N29" s="106">
        <f t="shared" si="15"/>
        <v>0</v>
      </c>
      <c r="O29" s="25">
        <v>0</v>
      </c>
      <c r="P29" s="107">
        <f t="shared" si="16"/>
        <v>0</v>
      </c>
      <c r="Q29" s="25">
        <v>0</v>
      </c>
      <c r="R29" s="108">
        <f t="shared" si="11"/>
        <v>0</v>
      </c>
      <c r="S29" s="17">
        <f t="shared" si="11"/>
        <v>0</v>
      </c>
      <c r="T29" s="108">
        <f t="shared" si="12"/>
        <v>0</v>
      </c>
    </row>
    <row r="30" spans="1:21" ht="15.6" x14ac:dyDescent="0.3">
      <c r="A30" s="34"/>
      <c r="B30" s="27">
        <v>5</v>
      </c>
      <c r="C30" s="104" t="s">
        <v>18</v>
      </c>
      <c r="D30" s="76">
        <v>0</v>
      </c>
      <c r="E30" s="105">
        <v>0</v>
      </c>
      <c r="F30" s="104"/>
      <c r="G30" s="105">
        <v>0</v>
      </c>
      <c r="H30" s="106">
        <f t="shared" si="10"/>
        <v>0</v>
      </c>
      <c r="I30" s="25">
        <v>0</v>
      </c>
      <c r="J30" s="106">
        <f t="shared" si="13"/>
        <v>0</v>
      </c>
      <c r="K30" s="25">
        <v>0</v>
      </c>
      <c r="L30" s="106">
        <f t="shared" si="14"/>
        <v>0</v>
      </c>
      <c r="M30" s="25">
        <v>0</v>
      </c>
      <c r="N30" s="106">
        <f t="shared" si="15"/>
        <v>0</v>
      </c>
      <c r="O30" s="25">
        <v>0</v>
      </c>
      <c r="P30" s="107">
        <f t="shared" si="16"/>
        <v>0</v>
      </c>
      <c r="Q30" s="25">
        <v>0</v>
      </c>
      <c r="R30" s="108">
        <f t="shared" si="11"/>
        <v>0</v>
      </c>
      <c r="S30" s="17">
        <f t="shared" si="11"/>
        <v>0</v>
      </c>
      <c r="T30" s="108">
        <f t="shared" si="12"/>
        <v>0</v>
      </c>
    </row>
    <row r="31" spans="1:21" ht="15.6" x14ac:dyDescent="0.3">
      <c r="A31" s="34"/>
      <c r="B31" s="27">
        <v>6</v>
      </c>
      <c r="C31" s="104" t="s">
        <v>18</v>
      </c>
      <c r="D31" s="76">
        <v>0</v>
      </c>
      <c r="E31" s="105">
        <v>0</v>
      </c>
      <c r="F31" s="104"/>
      <c r="G31" s="105">
        <v>0</v>
      </c>
      <c r="H31" s="106">
        <f t="shared" si="10"/>
        <v>0</v>
      </c>
      <c r="I31" s="25">
        <v>0</v>
      </c>
      <c r="J31" s="106">
        <f t="shared" si="13"/>
        <v>0</v>
      </c>
      <c r="K31" s="25">
        <v>0</v>
      </c>
      <c r="L31" s="106">
        <f t="shared" si="14"/>
        <v>0</v>
      </c>
      <c r="M31" s="25">
        <v>0</v>
      </c>
      <c r="N31" s="106">
        <f t="shared" si="15"/>
        <v>0</v>
      </c>
      <c r="O31" s="25">
        <v>0</v>
      </c>
      <c r="P31" s="107">
        <f t="shared" si="16"/>
        <v>0</v>
      </c>
      <c r="Q31" s="25">
        <v>0</v>
      </c>
      <c r="R31" s="108">
        <f t="shared" si="11"/>
        <v>0</v>
      </c>
      <c r="S31" s="17">
        <f t="shared" si="11"/>
        <v>0</v>
      </c>
      <c r="T31" s="108">
        <f t="shared" si="12"/>
        <v>0</v>
      </c>
    </row>
    <row r="32" spans="1:21" ht="15.6" x14ac:dyDescent="0.3">
      <c r="A32" s="34"/>
      <c r="B32" s="27">
        <v>7</v>
      </c>
      <c r="C32" s="104" t="s">
        <v>93</v>
      </c>
      <c r="D32" s="76">
        <v>0</v>
      </c>
      <c r="E32" s="105">
        <v>0</v>
      </c>
      <c r="F32" s="104"/>
      <c r="G32" s="105">
        <v>0</v>
      </c>
      <c r="H32" s="106">
        <f t="shared" si="10"/>
        <v>0</v>
      </c>
      <c r="I32" s="25">
        <v>0</v>
      </c>
      <c r="J32" s="106">
        <f t="shared" si="13"/>
        <v>0</v>
      </c>
      <c r="K32" s="25">
        <v>0</v>
      </c>
      <c r="L32" s="106">
        <f t="shared" si="14"/>
        <v>0</v>
      </c>
      <c r="M32" s="25">
        <v>0</v>
      </c>
      <c r="N32" s="106">
        <f t="shared" si="15"/>
        <v>0</v>
      </c>
      <c r="O32" s="25">
        <v>0</v>
      </c>
      <c r="P32" s="107">
        <f t="shared" si="16"/>
        <v>0</v>
      </c>
      <c r="Q32" s="25">
        <v>0</v>
      </c>
      <c r="R32" s="108">
        <f t="shared" si="11"/>
        <v>0</v>
      </c>
      <c r="S32" s="17">
        <f t="shared" si="11"/>
        <v>0</v>
      </c>
      <c r="T32" s="108">
        <f t="shared" si="12"/>
        <v>0</v>
      </c>
    </row>
    <row r="33" spans="1:21" ht="15.6" x14ac:dyDescent="0.3">
      <c r="A33" s="34"/>
      <c r="B33" s="27">
        <v>8</v>
      </c>
      <c r="C33" s="104" t="s">
        <v>93</v>
      </c>
      <c r="D33" s="76">
        <v>0</v>
      </c>
      <c r="E33" s="105">
        <v>0</v>
      </c>
      <c r="F33" s="104"/>
      <c r="G33" s="105">
        <v>0</v>
      </c>
      <c r="H33" s="106">
        <f t="shared" si="10"/>
        <v>0</v>
      </c>
      <c r="I33" s="25">
        <v>0</v>
      </c>
      <c r="J33" s="106">
        <f t="shared" si="13"/>
        <v>0</v>
      </c>
      <c r="K33" s="25">
        <v>0</v>
      </c>
      <c r="L33" s="106">
        <f t="shared" si="14"/>
        <v>0</v>
      </c>
      <c r="M33" s="25">
        <v>0</v>
      </c>
      <c r="N33" s="106">
        <f t="shared" si="15"/>
        <v>0</v>
      </c>
      <c r="O33" s="25">
        <v>0</v>
      </c>
      <c r="P33" s="107">
        <f t="shared" si="16"/>
        <v>0</v>
      </c>
      <c r="Q33" s="25">
        <v>0</v>
      </c>
      <c r="R33" s="108">
        <f t="shared" si="11"/>
        <v>0</v>
      </c>
      <c r="S33" s="17">
        <f t="shared" si="11"/>
        <v>0</v>
      </c>
      <c r="T33" s="108">
        <f t="shared" si="12"/>
        <v>0</v>
      </c>
    </row>
    <row r="34" spans="1:21" ht="15.6" x14ac:dyDescent="0.3">
      <c r="A34" s="34"/>
      <c r="B34" s="27">
        <v>9</v>
      </c>
      <c r="C34" s="104" t="s">
        <v>91</v>
      </c>
      <c r="D34" s="76">
        <v>0</v>
      </c>
      <c r="E34" s="105">
        <v>0</v>
      </c>
      <c r="F34" s="104"/>
      <c r="G34" s="105">
        <v>0</v>
      </c>
      <c r="H34" s="106">
        <f t="shared" si="10"/>
        <v>0</v>
      </c>
      <c r="I34" s="25">
        <v>0</v>
      </c>
      <c r="J34" s="106">
        <f t="shared" si="13"/>
        <v>0</v>
      </c>
      <c r="K34" s="25">
        <v>0</v>
      </c>
      <c r="L34" s="106">
        <f t="shared" si="14"/>
        <v>0</v>
      </c>
      <c r="M34" s="25">
        <v>0</v>
      </c>
      <c r="N34" s="106">
        <f t="shared" si="15"/>
        <v>0</v>
      </c>
      <c r="O34" s="25">
        <v>0</v>
      </c>
      <c r="P34" s="107">
        <f t="shared" si="16"/>
        <v>0</v>
      </c>
      <c r="Q34" s="25">
        <v>0</v>
      </c>
      <c r="R34" s="108">
        <f t="shared" si="11"/>
        <v>0</v>
      </c>
      <c r="S34" s="17">
        <f t="shared" si="11"/>
        <v>0</v>
      </c>
      <c r="T34" s="108">
        <f t="shared" si="12"/>
        <v>0</v>
      </c>
    </row>
    <row r="35" spans="1:21" ht="15.6" x14ac:dyDescent="0.3">
      <c r="A35" s="34"/>
      <c r="B35" s="27">
        <v>10</v>
      </c>
      <c r="C35" s="104" t="s">
        <v>91</v>
      </c>
      <c r="D35" s="76">
        <v>0</v>
      </c>
      <c r="E35" s="105">
        <v>0</v>
      </c>
      <c r="F35" s="104"/>
      <c r="G35" s="105">
        <v>0</v>
      </c>
      <c r="H35" s="106">
        <f t="shared" si="10"/>
        <v>0</v>
      </c>
      <c r="I35" s="25">
        <v>0</v>
      </c>
      <c r="J35" s="106">
        <f t="shared" si="13"/>
        <v>0</v>
      </c>
      <c r="K35" s="25">
        <v>0</v>
      </c>
      <c r="L35" s="106">
        <f t="shared" si="14"/>
        <v>0</v>
      </c>
      <c r="M35" s="25">
        <v>0</v>
      </c>
      <c r="N35" s="106">
        <f t="shared" si="15"/>
        <v>0</v>
      </c>
      <c r="O35" s="25">
        <v>0</v>
      </c>
      <c r="P35" s="107">
        <f t="shared" si="16"/>
        <v>0</v>
      </c>
      <c r="Q35" s="25">
        <v>0</v>
      </c>
      <c r="R35" s="108">
        <f t="shared" si="11"/>
        <v>0</v>
      </c>
      <c r="S35" s="17">
        <f t="shared" si="11"/>
        <v>0</v>
      </c>
      <c r="T35" s="108">
        <f t="shared" si="12"/>
        <v>0</v>
      </c>
    </row>
    <row r="36" spans="1:21" ht="15.6" x14ac:dyDescent="0.3">
      <c r="A36" s="34"/>
      <c r="B36" s="27">
        <v>11</v>
      </c>
      <c r="C36" s="104" t="s">
        <v>92</v>
      </c>
      <c r="D36" s="76">
        <v>0</v>
      </c>
      <c r="E36" s="105">
        <v>0</v>
      </c>
      <c r="F36" s="104"/>
      <c r="G36" s="105">
        <v>0</v>
      </c>
      <c r="H36" s="106">
        <f t="shared" si="10"/>
        <v>0</v>
      </c>
      <c r="I36" s="25">
        <v>0</v>
      </c>
      <c r="J36" s="106">
        <f t="shared" si="13"/>
        <v>0</v>
      </c>
      <c r="K36" s="25">
        <v>0</v>
      </c>
      <c r="L36" s="106">
        <f t="shared" si="14"/>
        <v>0</v>
      </c>
      <c r="M36" s="25">
        <v>0</v>
      </c>
      <c r="N36" s="106">
        <f t="shared" si="15"/>
        <v>0</v>
      </c>
      <c r="O36" s="25">
        <v>0</v>
      </c>
      <c r="P36" s="107">
        <f t="shared" si="16"/>
        <v>0</v>
      </c>
      <c r="Q36" s="25">
        <v>0</v>
      </c>
      <c r="R36" s="108">
        <f t="shared" si="11"/>
        <v>0</v>
      </c>
      <c r="S36" s="17">
        <f t="shared" si="11"/>
        <v>0</v>
      </c>
      <c r="T36" s="108">
        <f t="shared" si="12"/>
        <v>0</v>
      </c>
    </row>
    <row r="37" spans="1:21" ht="15.6" x14ac:dyDescent="0.3">
      <c r="A37" s="34"/>
      <c r="B37" s="27">
        <v>12</v>
      </c>
      <c r="C37" s="104" t="s">
        <v>92</v>
      </c>
      <c r="D37" s="76">
        <v>0</v>
      </c>
      <c r="E37" s="105">
        <v>0</v>
      </c>
      <c r="F37" s="104"/>
      <c r="G37" s="105">
        <v>0</v>
      </c>
      <c r="H37" s="106">
        <f t="shared" si="10"/>
        <v>0</v>
      </c>
      <c r="I37" s="25">
        <v>0</v>
      </c>
      <c r="J37" s="106">
        <f t="shared" si="13"/>
        <v>0</v>
      </c>
      <c r="K37" s="25">
        <v>0</v>
      </c>
      <c r="L37" s="106">
        <f t="shared" si="14"/>
        <v>0</v>
      </c>
      <c r="M37" s="25">
        <v>0</v>
      </c>
      <c r="N37" s="106">
        <f t="shared" si="15"/>
        <v>0</v>
      </c>
      <c r="O37" s="25">
        <v>0</v>
      </c>
      <c r="P37" s="107">
        <f t="shared" si="16"/>
        <v>0</v>
      </c>
      <c r="Q37" s="25">
        <v>0</v>
      </c>
      <c r="R37" s="108">
        <f t="shared" si="11"/>
        <v>0</v>
      </c>
      <c r="S37" s="17">
        <f t="shared" si="11"/>
        <v>0</v>
      </c>
      <c r="T37" s="108">
        <f t="shared" si="12"/>
        <v>0</v>
      </c>
    </row>
    <row r="38" spans="1:21" x14ac:dyDescent="0.25">
      <c r="A38" s="27"/>
      <c r="B38" s="27"/>
      <c r="C38" s="43"/>
      <c r="D38" s="32"/>
      <c r="E38" s="32"/>
      <c r="F38" s="32"/>
      <c r="G38" s="32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19"/>
      <c r="S38" s="19"/>
      <c r="T38" s="20"/>
      <c r="U38" s="2"/>
    </row>
    <row r="39" spans="1:21" s="11" customFormat="1" ht="15.6" x14ac:dyDescent="0.3">
      <c r="A39" s="50"/>
      <c r="B39" s="50"/>
      <c r="C39" s="29" t="s">
        <v>19</v>
      </c>
      <c r="D39" s="51"/>
      <c r="E39" s="51"/>
      <c r="F39" s="51"/>
      <c r="G39" s="51"/>
      <c r="H39" s="40">
        <f t="shared" ref="H39:Q39" si="17">+H14+H25</f>
        <v>0</v>
      </c>
      <c r="I39" s="126">
        <f t="shared" si="17"/>
        <v>0</v>
      </c>
      <c r="J39" s="127">
        <f t="shared" si="17"/>
        <v>0</v>
      </c>
      <c r="K39" s="126">
        <f t="shared" si="17"/>
        <v>0</v>
      </c>
      <c r="L39" s="127">
        <f t="shared" si="17"/>
        <v>0</v>
      </c>
      <c r="M39" s="126">
        <f t="shared" si="17"/>
        <v>0</v>
      </c>
      <c r="N39" s="127">
        <f t="shared" si="17"/>
        <v>0</v>
      </c>
      <c r="O39" s="126">
        <f t="shared" si="17"/>
        <v>0</v>
      </c>
      <c r="P39" s="127">
        <f t="shared" si="17"/>
        <v>0</v>
      </c>
      <c r="Q39" s="126">
        <f t="shared" si="17"/>
        <v>0</v>
      </c>
      <c r="R39" s="128">
        <f>SUM(H39+J39+L39+N39+P39)</f>
        <v>0</v>
      </c>
      <c r="S39" s="16">
        <f>SUM(I39+K39+M39+O39+Q39)</f>
        <v>0</v>
      </c>
      <c r="T39" s="129">
        <f>SUM(R39+S39)</f>
        <v>0</v>
      </c>
      <c r="U39" s="2"/>
    </row>
    <row r="40" spans="1:21" ht="15" x14ac:dyDescent="0.25">
      <c r="A40" s="27"/>
      <c r="B40" s="27"/>
      <c r="C40" s="27"/>
      <c r="D40" s="32"/>
      <c r="E40" s="32"/>
      <c r="F40" s="32"/>
      <c r="G40" s="32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21"/>
      <c r="S40" s="21"/>
      <c r="T40" s="18"/>
    </row>
    <row r="41" spans="1:21" ht="15.6" x14ac:dyDescent="0.3">
      <c r="A41" s="34" t="s">
        <v>20</v>
      </c>
      <c r="B41" s="35"/>
      <c r="C41" s="36" t="s">
        <v>21</v>
      </c>
      <c r="D41" s="32" t="s">
        <v>22</v>
      </c>
      <c r="E41" s="32"/>
      <c r="F41" s="32"/>
      <c r="G41" s="32"/>
      <c r="H41" s="37">
        <f t="shared" ref="H41:Q41" si="18">SUM(H42:H62)</f>
        <v>0</v>
      </c>
      <c r="I41" s="38">
        <f t="shared" si="18"/>
        <v>0</v>
      </c>
      <c r="J41" s="37">
        <f t="shared" si="18"/>
        <v>0</v>
      </c>
      <c r="K41" s="38">
        <f t="shared" si="18"/>
        <v>0</v>
      </c>
      <c r="L41" s="37">
        <f t="shared" si="18"/>
        <v>0</v>
      </c>
      <c r="M41" s="38">
        <f t="shared" si="18"/>
        <v>0</v>
      </c>
      <c r="N41" s="37">
        <f t="shared" si="18"/>
        <v>0</v>
      </c>
      <c r="O41" s="38">
        <f t="shared" si="18"/>
        <v>0</v>
      </c>
      <c r="P41" s="40">
        <f t="shared" si="18"/>
        <v>0</v>
      </c>
      <c r="Q41" s="38">
        <f t="shared" si="18"/>
        <v>0</v>
      </c>
      <c r="R41" s="15">
        <f>SUM(H41+J41+L41+N41+P41)</f>
        <v>0</v>
      </c>
      <c r="S41" s="16">
        <f>SUM(I41+K41+M41+O41+Q41)</f>
        <v>0</v>
      </c>
      <c r="T41" s="15">
        <f>SUM(R41+S41)</f>
        <v>0</v>
      </c>
      <c r="U41" s="2"/>
    </row>
    <row r="42" spans="1:21" ht="15.6" x14ac:dyDescent="0.3">
      <c r="A42" s="34"/>
      <c r="B42" s="27"/>
      <c r="C42" s="104">
        <f>+C15</f>
        <v>0</v>
      </c>
      <c r="D42" s="111">
        <v>0.27500000000000002</v>
      </c>
      <c r="E42" s="111"/>
      <c r="F42" s="105"/>
      <c r="G42" s="105"/>
      <c r="H42" s="106">
        <f>ROUND(D42*H15,0)</f>
        <v>0</v>
      </c>
      <c r="I42" s="25">
        <f>ROUND(D42*I15,0)</f>
        <v>0</v>
      </c>
      <c r="J42" s="106">
        <f>ROUND(D42*J15,0)</f>
        <v>0</v>
      </c>
      <c r="K42" s="25">
        <f>ROUND(D42*K15,0)</f>
        <v>0</v>
      </c>
      <c r="L42" s="106">
        <f>ROUND(D42*L15,0)</f>
        <v>0</v>
      </c>
      <c r="M42" s="25">
        <f>ROUND(D42*M15,0)</f>
        <v>0</v>
      </c>
      <c r="N42" s="106">
        <f>ROUND(D42*N15,0)</f>
        <v>0</v>
      </c>
      <c r="O42" s="26">
        <f>ROUND(D42*O15,0)</f>
        <v>0</v>
      </c>
      <c r="P42" s="107">
        <f>ROUND(D42*P15,0)</f>
        <v>0</v>
      </c>
      <c r="Q42" s="26">
        <f>ROUND(D42*Q15,0)</f>
        <v>0</v>
      </c>
      <c r="R42" s="108">
        <f t="shared" ref="R42:S62" si="19">SUM(H42+J42+L42+N42+P42)</f>
        <v>0</v>
      </c>
      <c r="S42" s="17">
        <f t="shared" si="19"/>
        <v>0</v>
      </c>
      <c r="T42" s="108">
        <f t="shared" ref="T42:T62" si="20">SUM(R42+S42)</f>
        <v>0</v>
      </c>
      <c r="U42" s="2"/>
    </row>
    <row r="43" spans="1:21" ht="15.6" x14ac:dyDescent="0.3">
      <c r="A43" s="34"/>
      <c r="B43" s="27"/>
      <c r="C43" s="104">
        <f>+C16</f>
        <v>0</v>
      </c>
      <c r="D43" s="151">
        <v>0.27500000000000002</v>
      </c>
      <c r="E43" s="111"/>
      <c r="F43" s="105"/>
      <c r="G43" s="105"/>
      <c r="H43" s="106">
        <f t="shared" ref="H43:H50" si="21">ROUND(D43*H16,0)</f>
        <v>0</v>
      </c>
      <c r="I43" s="25">
        <f t="shared" ref="I43:I50" si="22">ROUND(D43*I16,0)</f>
        <v>0</v>
      </c>
      <c r="J43" s="106">
        <f t="shared" ref="J43:J50" si="23">ROUND(D43*J16,0)</f>
        <v>0</v>
      </c>
      <c r="K43" s="25">
        <f t="shared" ref="K43:K50" si="24">ROUND(D43*K16,0)</f>
        <v>0</v>
      </c>
      <c r="L43" s="106">
        <f t="shared" ref="L43:L50" si="25">ROUND(D43*L16,0)</f>
        <v>0</v>
      </c>
      <c r="M43" s="25">
        <f t="shared" ref="M43:M50" si="26">ROUND(D43*M16,0)</f>
        <v>0</v>
      </c>
      <c r="N43" s="106">
        <f t="shared" ref="N43:N50" si="27">ROUND(D43*N16,0)</f>
        <v>0</v>
      </c>
      <c r="O43" s="26">
        <f t="shared" ref="O43:O50" si="28">ROUND(D43*O16,0)</f>
        <v>0</v>
      </c>
      <c r="P43" s="107">
        <f t="shared" ref="P43:P50" si="29">ROUND(D43*P16,0)</f>
        <v>0</v>
      </c>
      <c r="Q43" s="26">
        <f t="shared" ref="Q43:Q50" si="30">ROUND(D43*Q16,0)</f>
        <v>0</v>
      </c>
      <c r="R43" s="108">
        <f t="shared" si="19"/>
        <v>0</v>
      </c>
      <c r="S43" s="17">
        <f t="shared" si="19"/>
        <v>0</v>
      </c>
      <c r="T43" s="108">
        <f t="shared" si="20"/>
        <v>0</v>
      </c>
      <c r="U43" s="2"/>
    </row>
    <row r="44" spans="1:21" ht="15.6" x14ac:dyDescent="0.3">
      <c r="A44" s="34"/>
      <c r="B44" s="27"/>
      <c r="C44" s="104">
        <f>+C17</f>
        <v>0</v>
      </c>
      <c r="D44" s="151">
        <v>0.27500000000000002</v>
      </c>
      <c r="E44" s="111"/>
      <c r="F44" s="105"/>
      <c r="G44" s="105"/>
      <c r="H44" s="106">
        <f t="shared" si="21"/>
        <v>0</v>
      </c>
      <c r="I44" s="25">
        <f t="shared" si="22"/>
        <v>0</v>
      </c>
      <c r="J44" s="106">
        <f t="shared" si="23"/>
        <v>0</v>
      </c>
      <c r="K44" s="25">
        <f t="shared" si="24"/>
        <v>0</v>
      </c>
      <c r="L44" s="106">
        <f t="shared" si="25"/>
        <v>0</v>
      </c>
      <c r="M44" s="25">
        <f t="shared" si="26"/>
        <v>0</v>
      </c>
      <c r="N44" s="106">
        <f t="shared" si="27"/>
        <v>0</v>
      </c>
      <c r="O44" s="26">
        <f t="shared" si="28"/>
        <v>0</v>
      </c>
      <c r="P44" s="107">
        <f t="shared" si="29"/>
        <v>0</v>
      </c>
      <c r="Q44" s="26">
        <f t="shared" si="30"/>
        <v>0</v>
      </c>
      <c r="R44" s="108">
        <f t="shared" si="19"/>
        <v>0</v>
      </c>
      <c r="S44" s="17">
        <f t="shared" si="19"/>
        <v>0</v>
      </c>
      <c r="T44" s="108">
        <f t="shared" si="20"/>
        <v>0</v>
      </c>
      <c r="U44" s="2"/>
    </row>
    <row r="45" spans="1:21" ht="15.6" x14ac:dyDescent="0.3">
      <c r="A45" s="34"/>
      <c r="B45" s="27"/>
      <c r="C45" s="104">
        <f>+C18</f>
        <v>0</v>
      </c>
      <c r="D45" s="151">
        <v>0.27500000000000002</v>
      </c>
      <c r="E45" s="111"/>
      <c r="F45" s="105"/>
      <c r="G45" s="105"/>
      <c r="H45" s="106">
        <f t="shared" si="21"/>
        <v>0</v>
      </c>
      <c r="I45" s="25">
        <f t="shared" si="22"/>
        <v>0</v>
      </c>
      <c r="J45" s="106">
        <f t="shared" si="23"/>
        <v>0</v>
      </c>
      <c r="K45" s="25">
        <f t="shared" si="24"/>
        <v>0</v>
      </c>
      <c r="L45" s="106">
        <f t="shared" si="25"/>
        <v>0</v>
      </c>
      <c r="M45" s="25">
        <f t="shared" si="26"/>
        <v>0</v>
      </c>
      <c r="N45" s="106">
        <f t="shared" si="27"/>
        <v>0</v>
      </c>
      <c r="O45" s="26">
        <f t="shared" si="28"/>
        <v>0</v>
      </c>
      <c r="P45" s="107">
        <f t="shared" si="29"/>
        <v>0</v>
      </c>
      <c r="Q45" s="26">
        <f t="shared" si="30"/>
        <v>0</v>
      </c>
      <c r="R45" s="108">
        <f t="shared" si="19"/>
        <v>0</v>
      </c>
      <c r="S45" s="17">
        <f t="shared" si="19"/>
        <v>0</v>
      </c>
      <c r="T45" s="108">
        <f t="shared" si="20"/>
        <v>0</v>
      </c>
    </row>
    <row r="46" spans="1:21" ht="15.6" x14ac:dyDescent="0.3">
      <c r="A46" s="34"/>
      <c r="B46" s="27"/>
      <c r="C46" s="104">
        <f>+C19</f>
        <v>0</v>
      </c>
      <c r="D46" s="163">
        <v>0.27500000000000002</v>
      </c>
      <c r="E46" s="111"/>
      <c r="F46" s="105"/>
      <c r="G46" s="105"/>
      <c r="H46" s="106">
        <f t="shared" si="21"/>
        <v>0</v>
      </c>
      <c r="I46" s="25">
        <f t="shared" si="22"/>
        <v>0</v>
      </c>
      <c r="J46" s="106">
        <f t="shared" si="23"/>
        <v>0</v>
      </c>
      <c r="K46" s="25">
        <f t="shared" si="24"/>
        <v>0</v>
      </c>
      <c r="L46" s="106">
        <f t="shared" si="25"/>
        <v>0</v>
      </c>
      <c r="M46" s="25">
        <f t="shared" si="26"/>
        <v>0</v>
      </c>
      <c r="N46" s="106">
        <f t="shared" si="27"/>
        <v>0</v>
      </c>
      <c r="O46" s="26">
        <f t="shared" si="28"/>
        <v>0</v>
      </c>
      <c r="P46" s="107">
        <f t="shared" si="29"/>
        <v>0</v>
      </c>
      <c r="Q46" s="26">
        <f t="shared" si="30"/>
        <v>0</v>
      </c>
      <c r="R46" s="108">
        <f t="shared" si="19"/>
        <v>0</v>
      </c>
      <c r="S46" s="17">
        <f t="shared" si="19"/>
        <v>0</v>
      </c>
      <c r="T46" s="108">
        <f t="shared" si="20"/>
        <v>0</v>
      </c>
    </row>
    <row r="47" spans="1:21" ht="15.6" x14ac:dyDescent="0.3">
      <c r="A47" s="34"/>
      <c r="B47" s="27"/>
      <c r="C47" s="104">
        <f>C20</f>
        <v>0</v>
      </c>
      <c r="D47" s="163">
        <v>0.27500000000000002</v>
      </c>
      <c r="E47" s="111"/>
      <c r="F47" s="105"/>
      <c r="G47" s="105"/>
      <c r="H47" s="106">
        <f t="shared" si="21"/>
        <v>0</v>
      </c>
      <c r="I47" s="25">
        <f t="shared" si="22"/>
        <v>0</v>
      </c>
      <c r="J47" s="106">
        <f t="shared" si="23"/>
        <v>0</v>
      </c>
      <c r="K47" s="25">
        <f t="shared" si="24"/>
        <v>0</v>
      </c>
      <c r="L47" s="106">
        <f t="shared" si="25"/>
        <v>0</v>
      </c>
      <c r="M47" s="25">
        <f t="shared" si="26"/>
        <v>0</v>
      </c>
      <c r="N47" s="106">
        <f t="shared" si="27"/>
        <v>0</v>
      </c>
      <c r="O47" s="26">
        <f t="shared" si="28"/>
        <v>0</v>
      </c>
      <c r="P47" s="107">
        <f t="shared" si="29"/>
        <v>0</v>
      </c>
      <c r="Q47" s="26">
        <f t="shared" si="30"/>
        <v>0</v>
      </c>
      <c r="R47" s="108">
        <f t="shared" si="19"/>
        <v>0</v>
      </c>
      <c r="S47" s="17">
        <f t="shared" si="19"/>
        <v>0</v>
      </c>
      <c r="T47" s="108">
        <f t="shared" si="20"/>
        <v>0</v>
      </c>
    </row>
    <row r="48" spans="1:21" ht="15.6" x14ac:dyDescent="0.3">
      <c r="A48" s="34"/>
      <c r="B48" s="27"/>
      <c r="C48" s="104">
        <f>C21</f>
        <v>0</v>
      </c>
      <c r="D48" s="163">
        <v>0.27500000000000002</v>
      </c>
      <c r="E48" s="111"/>
      <c r="F48" s="105"/>
      <c r="G48" s="105"/>
      <c r="H48" s="106">
        <f t="shared" si="21"/>
        <v>0</v>
      </c>
      <c r="I48" s="25">
        <f t="shared" si="22"/>
        <v>0</v>
      </c>
      <c r="J48" s="106">
        <f t="shared" si="23"/>
        <v>0</v>
      </c>
      <c r="K48" s="25">
        <f t="shared" si="24"/>
        <v>0</v>
      </c>
      <c r="L48" s="106">
        <f t="shared" si="25"/>
        <v>0</v>
      </c>
      <c r="M48" s="25">
        <f t="shared" si="26"/>
        <v>0</v>
      </c>
      <c r="N48" s="106">
        <f t="shared" si="27"/>
        <v>0</v>
      </c>
      <c r="O48" s="26">
        <f t="shared" si="28"/>
        <v>0</v>
      </c>
      <c r="P48" s="107">
        <f t="shared" si="29"/>
        <v>0</v>
      </c>
      <c r="Q48" s="26">
        <f t="shared" si="30"/>
        <v>0</v>
      </c>
      <c r="R48" s="108">
        <f t="shared" si="19"/>
        <v>0</v>
      </c>
      <c r="S48" s="17">
        <f t="shared" si="19"/>
        <v>0</v>
      </c>
      <c r="T48" s="108">
        <f t="shared" si="20"/>
        <v>0</v>
      </c>
    </row>
    <row r="49" spans="1:21" ht="15.6" x14ac:dyDescent="0.3">
      <c r="A49" s="34"/>
      <c r="B49" s="27"/>
      <c r="C49" s="104">
        <f>C22</f>
        <v>0</v>
      </c>
      <c r="D49" s="163">
        <v>0.27500000000000002</v>
      </c>
      <c r="E49" s="111"/>
      <c r="F49" s="105"/>
      <c r="G49" s="105"/>
      <c r="H49" s="106">
        <f t="shared" si="21"/>
        <v>0</v>
      </c>
      <c r="I49" s="25">
        <f t="shared" si="22"/>
        <v>0</v>
      </c>
      <c r="J49" s="106">
        <f t="shared" si="23"/>
        <v>0</v>
      </c>
      <c r="K49" s="25">
        <f t="shared" si="24"/>
        <v>0</v>
      </c>
      <c r="L49" s="106">
        <f t="shared" si="25"/>
        <v>0</v>
      </c>
      <c r="M49" s="25">
        <f t="shared" si="26"/>
        <v>0</v>
      </c>
      <c r="N49" s="106">
        <f t="shared" si="27"/>
        <v>0</v>
      </c>
      <c r="O49" s="26">
        <f t="shared" si="28"/>
        <v>0</v>
      </c>
      <c r="P49" s="107">
        <f t="shared" si="29"/>
        <v>0</v>
      </c>
      <c r="Q49" s="26">
        <f t="shared" si="30"/>
        <v>0</v>
      </c>
      <c r="R49" s="108">
        <f t="shared" si="19"/>
        <v>0</v>
      </c>
      <c r="S49" s="17">
        <f t="shared" si="19"/>
        <v>0</v>
      </c>
      <c r="T49" s="108">
        <f t="shared" si="20"/>
        <v>0</v>
      </c>
    </row>
    <row r="50" spans="1:21" ht="15.6" x14ac:dyDescent="0.3">
      <c r="A50" s="34"/>
      <c r="B50" s="27"/>
      <c r="C50" s="104">
        <f>C23</f>
        <v>0</v>
      </c>
      <c r="D50" s="163">
        <v>0.27500000000000002</v>
      </c>
      <c r="E50" s="111"/>
      <c r="F50" s="105"/>
      <c r="G50" s="105"/>
      <c r="H50" s="106">
        <f t="shared" si="21"/>
        <v>0</v>
      </c>
      <c r="I50" s="25">
        <f t="shared" si="22"/>
        <v>0</v>
      </c>
      <c r="J50" s="106">
        <f t="shared" si="23"/>
        <v>0</v>
      </c>
      <c r="K50" s="25">
        <f t="shared" si="24"/>
        <v>0</v>
      </c>
      <c r="L50" s="106">
        <f t="shared" si="25"/>
        <v>0</v>
      </c>
      <c r="M50" s="25">
        <f t="shared" si="26"/>
        <v>0</v>
      </c>
      <c r="N50" s="106">
        <f t="shared" si="27"/>
        <v>0</v>
      </c>
      <c r="O50" s="26">
        <f t="shared" si="28"/>
        <v>0</v>
      </c>
      <c r="P50" s="107">
        <f t="shared" si="29"/>
        <v>0</v>
      </c>
      <c r="Q50" s="26">
        <f t="shared" si="30"/>
        <v>0</v>
      </c>
      <c r="R50" s="108">
        <f t="shared" si="19"/>
        <v>0</v>
      </c>
      <c r="S50" s="17">
        <f t="shared" si="19"/>
        <v>0</v>
      </c>
      <c r="T50" s="108">
        <f t="shared" si="20"/>
        <v>0</v>
      </c>
    </row>
    <row r="51" spans="1:21" ht="15.6" x14ac:dyDescent="0.3">
      <c r="A51" s="34"/>
      <c r="B51" s="27"/>
      <c r="C51" s="104" t="str">
        <f t="shared" ref="C51:C56" si="31">+C26</f>
        <v>Post Doc</v>
      </c>
      <c r="D51" s="151">
        <v>0.32900000000000001</v>
      </c>
      <c r="E51" s="111"/>
      <c r="F51" s="105"/>
      <c r="G51" s="105"/>
      <c r="H51" s="106">
        <f>ROUND(D51*H26,0)</f>
        <v>0</v>
      </c>
      <c r="I51" s="25">
        <f>ROUND(D51*I26,0)</f>
        <v>0</v>
      </c>
      <c r="J51" s="106">
        <f>ROUND(D51*J26,0)</f>
        <v>0</v>
      </c>
      <c r="K51" s="25">
        <f>ROUND(D51*K26,0)</f>
        <v>0</v>
      </c>
      <c r="L51" s="106">
        <f>ROUND(D51*L26,0)</f>
        <v>0</v>
      </c>
      <c r="M51" s="25">
        <f>ROUND(D51*M26,0)</f>
        <v>0</v>
      </c>
      <c r="N51" s="106">
        <f>ROUND(D51*N26,0)</f>
        <v>0</v>
      </c>
      <c r="O51" s="26">
        <f>ROUND(D51*O26,0)</f>
        <v>0</v>
      </c>
      <c r="P51" s="107">
        <f>ROUND(D51*P26,0)</f>
        <v>0</v>
      </c>
      <c r="Q51" s="26">
        <f>ROUND(D51*Q26,0)</f>
        <v>0</v>
      </c>
      <c r="R51" s="108">
        <f t="shared" si="19"/>
        <v>0</v>
      </c>
      <c r="S51" s="17">
        <f t="shared" si="19"/>
        <v>0</v>
      </c>
      <c r="T51" s="108">
        <f t="shared" si="20"/>
        <v>0</v>
      </c>
    </row>
    <row r="52" spans="1:21" ht="15.6" x14ac:dyDescent="0.3">
      <c r="A52" s="34"/>
      <c r="B52" s="27"/>
      <c r="C52" s="104" t="str">
        <f t="shared" si="31"/>
        <v>Post Doc</v>
      </c>
      <c r="D52" s="151">
        <v>0.32900000000000001</v>
      </c>
      <c r="E52" s="111"/>
      <c r="F52" s="105"/>
      <c r="G52" s="105"/>
      <c r="H52" s="106">
        <f t="shared" ref="H52:H62" si="32">ROUND(D52*H27,0)</f>
        <v>0</v>
      </c>
      <c r="I52" s="25">
        <f t="shared" ref="I52:I62" si="33">ROUND(D52*I27,0)</f>
        <v>0</v>
      </c>
      <c r="J52" s="106">
        <f t="shared" ref="J52:J62" si="34">ROUND(D52*J27,0)</f>
        <v>0</v>
      </c>
      <c r="K52" s="25">
        <f t="shared" ref="K52:K62" si="35">ROUND(D52*K27,0)</f>
        <v>0</v>
      </c>
      <c r="L52" s="106">
        <f t="shared" ref="L52:L62" si="36">ROUND(D52*L27,0)</f>
        <v>0</v>
      </c>
      <c r="M52" s="25">
        <f t="shared" ref="M52:M62" si="37">ROUND(D52*M27,0)</f>
        <v>0</v>
      </c>
      <c r="N52" s="106">
        <f t="shared" ref="N52:N62" si="38">ROUND(D52*N27,0)</f>
        <v>0</v>
      </c>
      <c r="O52" s="26">
        <f t="shared" ref="O52:O62" si="39">ROUND(D52*O27,0)</f>
        <v>0</v>
      </c>
      <c r="P52" s="107">
        <f t="shared" ref="P52:P62" si="40">ROUND(D52*P27,0)</f>
        <v>0</v>
      </c>
      <c r="Q52" s="26">
        <f t="shared" ref="Q52:Q62" si="41">ROUND(D52*Q27,0)</f>
        <v>0</v>
      </c>
      <c r="R52" s="108">
        <f t="shared" si="19"/>
        <v>0</v>
      </c>
      <c r="S52" s="17">
        <f t="shared" si="19"/>
        <v>0</v>
      </c>
      <c r="T52" s="108">
        <f t="shared" si="20"/>
        <v>0</v>
      </c>
    </row>
    <row r="53" spans="1:21" s="6" customFormat="1" ht="15.75" customHeight="1" x14ac:dyDescent="0.25">
      <c r="A53" s="27"/>
      <c r="B53" s="27"/>
      <c r="C53" s="74" t="str">
        <f t="shared" si="31"/>
        <v>Research Asst-Halftime</v>
      </c>
      <c r="D53" s="151">
        <v>9.8000000000000004E-2</v>
      </c>
      <c r="E53" s="111"/>
      <c r="F53" s="111"/>
      <c r="G53" s="105"/>
      <c r="H53" s="106">
        <f t="shared" si="32"/>
        <v>0</v>
      </c>
      <c r="I53" s="25">
        <f t="shared" si="33"/>
        <v>0</v>
      </c>
      <c r="J53" s="106">
        <f t="shared" si="34"/>
        <v>0</v>
      </c>
      <c r="K53" s="25">
        <f t="shared" si="35"/>
        <v>0</v>
      </c>
      <c r="L53" s="106">
        <f t="shared" si="36"/>
        <v>0</v>
      </c>
      <c r="M53" s="25">
        <f t="shared" si="37"/>
        <v>0</v>
      </c>
      <c r="N53" s="106">
        <f t="shared" si="38"/>
        <v>0</v>
      </c>
      <c r="O53" s="26">
        <f t="shared" si="39"/>
        <v>0</v>
      </c>
      <c r="P53" s="107">
        <f t="shared" si="40"/>
        <v>0</v>
      </c>
      <c r="Q53" s="26">
        <f t="shared" si="41"/>
        <v>0</v>
      </c>
      <c r="R53" s="108">
        <f t="shared" si="19"/>
        <v>0</v>
      </c>
      <c r="S53" s="17">
        <f t="shared" si="19"/>
        <v>0</v>
      </c>
      <c r="T53" s="108">
        <f t="shared" si="20"/>
        <v>0</v>
      </c>
      <c r="U53" s="5"/>
    </row>
    <row r="54" spans="1:21" ht="15.75" customHeight="1" x14ac:dyDescent="0.25">
      <c r="A54" s="27"/>
      <c r="B54" s="27"/>
      <c r="C54" s="110" t="str">
        <f t="shared" si="31"/>
        <v>Research Asst-Halftime</v>
      </c>
      <c r="D54" s="163">
        <v>9.8000000000000004E-2</v>
      </c>
      <c r="E54" s="111"/>
      <c r="F54" s="105"/>
      <c r="G54" s="74"/>
      <c r="H54" s="106">
        <f t="shared" si="32"/>
        <v>0</v>
      </c>
      <c r="I54" s="25">
        <f t="shared" si="33"/>
        <v>0</v>
      </c>
      <c r="J54" s="106">
        <f t="shared" si="34"/>
        <v>0</v>
      </c>
      <c r="K54" s="25">
        <f t="shared" si="35"/>
        <v>0</v>
      </c>
      <c r="L54" s="106">
        <f t="shared" si="36"/>
        <v>0</v>
      </c>
      <c r="M54" s="25">
        <f t="shared" si="37"/>
        <v>0</v>
      </c>
      <c r="N54" s="106">
        <f t="shared" si="38"/>
        <v>0</v>
      </c>
      <c r="O54" s="26">
        <f t="shared" si="39"/>
        <v>0</v>
      </c>
      <c r="P54" s="107">
        <f t="shared" si="40"/>
        <v>0</v>
      </c>
      <c r="Q54" s="26">
        <f t="shared" si="41"/>
        <v>0</v>
      </c>
      <c r="R54" s="108">
        <f t="shared" si="19"/>
        <v>0</v>
      </c>
      <c r="S54" s="17">
        <f t="shared" si="19"/>
        <v>0</v>
      </c>
      <c r="T54" s="108">
        <f t="shared" si="20"/>
        <v>0</v>
      </c>
    </row>
    <row r="55" spans="1:21" ht="15.75" customHeight="1" x14ac:dyDescent="0.25">
      <c r="A55" s="27"/>
      <c r="B55" s="27"/>
      <c r="C55" s="110" t="str">
        <f t="shared" si="31"/>
        <v>Hourly Undergraduate student</v>
      </c>
      <c r="D55" s="151">
        <v>6.0000000000000001E-3</v>
      </c>
      <c r="E55" s="111"/>
      <c r="F55" s="105"/>
      <c r="G55" s="74"/>
      <c r="H55" s="106">
        <f t="shared" si="32"/>
        <v>0</v>
      </c>
      <c r="I55" s="25">
        <f t="shared" si="33"/>
        <v>0</v>
      </c>
      <c r="J55" s="106">
        <f t="shared" si="34"/>
        <v>0</v>
      </c>
      <c r="K55" s="25">
        <f t="shared" si="35"/>
        <v>0</v>
      </c>
      <c r="L55" s="106">
        <f t="shared" si="36"/>
        <v>0</v>
      </c>
      <c r="M55" s="25">
        <f t="shared" si="37"/>
        <v>0</v>
      </c>
      <c r="N55" s="106">
        <f t="shared" si="38"/>
        <v>0</v>
      </c>
      <c r="O55" s="26">
        <f t="shared" si="39"/>
        <v>0</v>
      </c>
      <c r="P55" s="107">
        <f t="shared" si="40"/>
        <v>0</v>
      </c>
      <c r="Q55" s="26">
        <f t="shared" si="41"/>
        <v>0</v>
      </c>
      <c r="R55" s="108">
        <f t="shared" si="19"/>
        <v>0</v>
      </c>
      <c r="S55" s="17">
        <f t="shared" si="19"/>
        <v>0</v>
      </c>
      <c r="T55" s="108">
        <f t="shared" si="20"/>
        <v>0</v>
      </c>
    </row>
    <row r="56" spans="1:21" ht="15.75" customHeight="1" x14ac:dyDescent="0.25">
      <c r="A56" s="27"/>
      <c r="B56" s="27"/>
      <c r="C56" s="110" t="str">
        <f t="shared" si="31"/>
        <v>Hourly Undergraduate student</v>
      </c>
      <c r="D56" s="112">
        <v>6.0000000000000001E-3</v>
      </c>
      <c r="E56" s="112"/>
      <c r="F56" s="74"/>
      <c r="G56" s="74"/>
      <c r="H56" s="106">
        <f t="shared" si="32"/>
        <v>0</v>
      </c>
      <c r="I56" s="25">
        <f t="shared" si="33"/>
        <v>0</v>
      </c>
      <c r="J56" s="106">
        <f t="shared" si="34"/>
        <v>0</v>
      </c>
      <c r="K56" s="25">
        <f t="shared" si="35"/>
        <v>0</v>
      </c>
      <c r="L56" s="106">
        <f t="shared" si="36"/>
        <v>0</v>
      </c>
      <c r="M56" s="25">
        <f t="shared" si="37"/>
        <v>0</v>
      </c>
      <c r="N56" s="106">
        <f t="shared" si="38"/>
        <v>0</v>
      </c>
      <c r="O56" s="26">
        <f t="shared" si="39"/>
        <v>0</v>
      </c>
      <c r="P56" s="107">
        <f t="shared" si="40"/>
        <v>0</v>
      </c>
      <c r="Q56" s="26">
        <f t="shared" si="41"/>
        <v>0</v>
      </c>
      <c r="R56" s="108">
        <f t="shared" si="19"/>
        <v>0</v>
      </c>
      <c r="S56" s="17">
        <f t="shared" si="19"/>
        <v>0</v>
      </c>
      <c r="T56" s="108">
        <f t="shared" si="20"/>
        <v>0</v>
      </c>
      <c r="U56" s="2"/>
    </row>
    <row r="57" spans="1:21" ht="15.75" customHeight="1" x14ac:dyDescent="0.25">
      <c r="A57" s="27"/>
      <c r="B57" s="27"/>
      <c r="C57" s="110" t="str">
        <f t="shared" ref="C57:C62" si="42">+C32</f>
        <v>P&amp;S</v>
      </c>
      <c r="D57" s="112">
        <v>0.34499999999999997</v>
      </c>
      <c r="E57" s="112"/>
      <c r="F57" s="74"/>
      <c r="G57" s="74"/>
      <c r="H57" s="106">
        <f t="shared" si="32"/>
        <v>0</v>
      </c>
      <c r="I57" s="25">
        <f t="shared" si="33"/>
        <v>0</v>
      </c>
      <c r="J57" s="106">
        <f t="shared" si="34"/>
        <v>0</v>
      </c>
      <c r="K57" s="25">
        <f t="shared" si="35"/>
        <v>0</v>
      </c>
      <c r="L57" s="106">
        <f t="shared" si="36"/>
        <v>0</v>
      </c>
      <c r="M57" s="25">
        <f t="shared" si="37"/>
        <v>0</v>
      </c>
      <c r="N57" s="106">
        <f t="shared" si="38"/>
        <v>0</v>
      </c>
      <c r="O57" s="26">
        <f t="shared" si="39"/>
        <v>0</v>
      </c>
      <c r="P57" s="107">
        <f t="shared" si="40"/>
        <v>0</v>
      </c>
      <c r="Q57" s="26">
        <f t="shared" si="41"/>
        <v>0</v>
      </c>
      <c r="R57" s="108">
        <f t="shared" si="19"/>
        <v>0</v>
      </c>
      <c r="S57" s="17">
        <f t="shared" si="19"/>
        <v>0</v>
      </c>
      <c r="T57" s="108">
        <f t="shared" si="20"/>
        <v>0</v>
      </c>
      <c r="U57" s="2"/>
    </row>
    <row r="58" spans="1:21" ht="15.75" customHeight="1" x14ac:dyDescent="0.25">
      <c r="A58" s="27"/>
      <c r="B58" s="27"/>
      <c r="C58" s="110" t="str">
        <f t="shared" si="42"/>
        <v>P&amp;S</v>
      </c>
      <c r="D58" s="112">
        <v>0.34499999999999997</v>
      </c>
      <c r="E58" s="112"/>
      <c r="F58" s="74"/>
      <c r="G58" s="74"/>
      <c r="H58" s="106">
        <f t="shared" si="32"/>
        <v>0</v>
      </c>
      <c r="I58" s="25">
        <f t="shared" si="33"/>
        <v>0</v>
      </c>
      <c r="J58" s="106">
        <f t="shared" si="34"/>
        <v>0</v>
      </c>
      <c r="K58" s="25">
        <f t="shared" si="35"/>
        <v>0</v>
      </c>
      <c r="L58" s="106">
        <f t="shared" si="36"/>
        <v>0</v>
      </c>
      <c r="M58" s="25">
        <f t="shared" si="37"/>
        <v>0</v>
      </c>
      <c r="N58" s="106">
        <f t="shared" si="38"/>
        <v>0</v>
      </c>
      <c r="O58" s="26">
        <f t="shared" si="39"/>
        <v>0</v>
      </c>
      <c r="P58" s="107">
        <f t="shared" si="40"/>
        <v>0</v>
      </c>
      <c r="Q58" s="26">
        <f t="shared" si="41"/>
        <v>0</v>
      </c>
      <c r="R58" s="108">
        <f t="shared" si="19"/>
        <v>0</v>
      </c>
      <c r="S58" s="17">
        <f t="shared" si="19"/>
        <v>0</v>
      </c>
      <c r="T58" s="108">
        <f t="shared" si="20"/>
        <v>0</v>
      </c>
      <c r="U58" s="2"/>
    </row>
    <row r="59" spans="1:21" ht="15.75" customHeight="1" x14ac:dyDescent="0.25">
      <c r="A59" s="27"/>
      <c r="B59" s="27"/>
      <c r="C59" s="110" t="str">
        <f t="shared" si="42"/>
        <v>Secretarial/Clerical</v>
      </c>
      <c r="D59" s="112">
        <v>0.45800000000000002</v>
      </c>
      <c r="E59" s="112"/>
      <c r="F59" s="74"/>
      <c r="G59" s="74"/>
      <c r="H59" s="106">
        <f t="shared" si="32"/>
        <v>0</v>
      </c>
      <c r="I59" s="25">
        <f t="shared" si="33"/>
        <v>0</v>
      </c>
      <c r="J59" s="106">
        <f t="shared" si="34"/>
        <v>0</v>
      </c>
      <c r="K59" s="25">
        <f t="shared" si="35"/>
        <v>0</v>
      </c>
      <c r="L59" s="106">
        <f t="shared" si="36"/>
        <v>0</v>
      </c>
      <c r="M59" s="25">
        <f t="shared" si="37"/>
        <v>0</v>
      </c>
      <c r="N59" s="106">
        <f t="shared" si="38"/>
        <v>0</v>
      </c>
      <c r="O59" s="26">
        <f t="shared" si="39"/>
        <v>0</v>
      </c>
      <c r="P59" s="107">
        <f t="shared" si="40"/>
        <v>0</v>
      </c>
      <c r="Q59" s="26">
        <f t="shared" si="41"/>
        <v>0</v>
      </c>
      <c r="R59" s="108">
        <f t="shared" si="19"/>
        <v>0</v>
      </c>
      <c r="S59" s="17">
        <f t="shared" si="19"/>
        <v>0</v>
      </c>
      <c r="T59" s="108">
        <f t="shared" si="20"/>
        <v>0</v>
      </c>
      <c r="U59" s="2"/>
    </row>
    <row r="60" spans="1:21" ht="15.75" customHeight="1" x14ac:dyDescent="0.25">
      <c r="A60" s="27"/>
      <c r="B60" s="27"/>
      <c r="C60" s="110" t="str">
        <f t="shared" si="42"/>
        <v>Secretarial/Clerical</v>
      </c>
      <c r="D60" s="112">
        <v>0.45800000000000002</v>
      </c>
      <c r="E60" s="112"/>
      <c r="F60" s="74"/>
      <c r="G60" s="74"/>
      <c r="H60" s="106">
        <f t="shared" si="32"/>
        <v>0</v>
      </c>
      <c r="I60" s="25">
        <f t="shared" si="33"/>
        <v>0</v>
      </c>
      <c r="J60" s="106">
        <f t="shared" si="34"/>
        <v>0</v>
      </c>
      <c r="K60" s="25">
        <f t="shared" si="35"/>
        <v>0</v>
      </c>
      <c r="L60" s="106">
        <f t="shared" si="36"/>
        <v>0</v>
      </c>
      <c r="M60" s="25">
        <f t="shared" si="37"/>
        <v>0</v>
      </c>
      <c r="N60" s="106">
        <f t="shared" si="38"/>
        <v>0</v>
      </c>
      <c r="O60" s="26">
        <f t="shared" si="39"/>
        <v>0</v>
      </c>
      <c r="P60" s="107">
        <f t="shared" si="40"/>
        <v>0</v>
      </c>
      <c r="Q60" s="26">
        <f t="shared" si="41"/>
        <v>0</v>
      </c>
      <c r="R60" s="108">
        <f t="shared" si="19"/>
        <v>0</v>
      </c>
      <c r="S60" s="17">
        <f t="shared" si="19"/>
        <v>0</v>
      </c>
      <c r="T60" s="108">
        <f t="shared" si="20"/>
        <v>0</v>
      </c>
      <c r="U60" s="2"/>
    </row>
    <row r="61" spans="1:21" ht="15.75" customHeight="1" x14ac:dyDescent="0.25">
      <c r="A61" s="27"/>
      <c r="B61" s="27"/>
      <c r="C61" s="110" t="str">
        <f t="shared" si="42"/>
        <v>Non-Student Hourly</v>
      </c>
      <c r="D61" s="112">
        <v>0.17100000000000001</v>
      </c>
      <c r="E61" s="112"/>
      <c r="F61" s="74"/>
      <c r="G61" s="74"/>
      <c r="H61" s="106">
        <f t="shared" si="32"/>
        <v>0</v>
      </c>
      <c r="I61" s="25">
        <f t="shared" si="33"/>
        <v>0</v>
      </c>
      <c r="J61" s="106">
        <f t="shared" si="34"/>
        <v>0</v>
      </c>
      <c r="K61" s="25">
        <f t="shared" si="35"/>
        <v>0</v>
      </c>
      <c r="L61" s="106">
        <f t="shared" si="36"/>
        <v>0</v>
      </c>
      <c r="M61" s="25">
        <f t="shared" si="37"/>
        <v>0</v>
      </c>
      <c r="N61" s="106">
        <f t="shared" si="38"/>
        <v>0</v>
      </c>
      <c r="O61" s="26">
        <f t="shared" si="39"/>
        <v>0</v>
      </c>
      <c r="P61" s="107">
        <f t="shared" si="40"/>
        <v>0</v>
      </c>
      <c r="Q61" s="26">
        <f t="shared" si="41"/>
        <v>0</v>
      </c>
      <c r="R61" s="108">
        <f t="shared" si="19"/>
        <v>0</v>
      </c>
      <c r="S61" s="17">
        <f t="shared" si="19"/>
        <v>0</v>
      </c>
      <c r="T61" s="108">
        <f t="shared" si="20"/>
        <v>0</v>
      </c>
      <c r="U61" s="2"/>
    </row>
    <row r="62" spans="1:21" ht="15.75" customHeight="1" x14ac:dyDescent="0.25">
      <c r="A62" s="27"/>
      <c r="B62" s="27"/>
      <c r="C62" s="110" t="str">
        <f t="shared" si="42"/>
        <v>Non-Student Hourly</v>
      </c>
      <c r="D62" s="112">
        <v>0.17100000000000001</v>
      </c>
      <c r="E62" s="112"/>
      <c r="F62" s="74"/>
      <c r="G62" s="74"/>
      <c r="H62" s="106">
        <f t="shared" si="32"/>
        <v>0</v>
      </c>
      <c r="I62" s="25">
        <f t="shared" si="33"/>
        <v>0</v>
      </c>
      <c r="J62" s="106">
        <f t="shared" si="34"/>
        <v>0</v>
      </c>
      <c r="K62" s="25">
        <f t="shared" si="35"/>
        <v>0</v>
      </c>
      <c r="L62" s="106">
        <f t="shared" si="36"/>
        <v>0</v>
      </c>
      <c r="M62" s="25">
        <f t="shared" si="37"/>
        <v>0</v>
      </c>
      <c r="N62" s="106">
        <f t="shared" si="38"/>
        <v>0</v>
      </c>
      <c r="O62" s="26">
        <f t="shared" si="39"/>
        <v>0</v>
      </c>
      <c r="P62" s="107">
        <f t="shared" si="40"/>
        <v>0</v>
      </c>
      <c r="Q62" s="26">
        <f t="shared" si="41"/>
        <v>0</v>
      </c>
      <c r="R62" s="108">
        <f t="shared" si="19"/>
        <v>0</v>
      </c>
      <c r="S62" s="17">
        <f t="shared" si="19"/>
        <v>0</v>
      </c>
      <c r="T62" s="108">
        <f t="shared" si="20"/>
        <v>0</v>
      </c>
      <c r="U62" s="2"/>
    </row>
    <row r="63" spans="1:21" x14ac:dyDescent="0.25">
      <c r="A63" s="27"/>
      <c r="B63" s="27"/>
      <c r="C63" s="43"/>
      <c r="D63" s="53"/>
      <c r="E63" s="53"/>
      <c r="F63" s="27"/>
      <c r="G63" s="27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19"/>
      <c r="S63" s="19"/>
      <c r="T63" s="22"/>
    </row>
    <row r="64" spans="1:21" s="11" customFormat="1" ht="15.6" x14ac:dyDescent="0.3">
      <c r="A64" s="50"/>
      <c r="B64" s="50"/>
      <c r="C64" s="54" t="s">
        <v>23</v>
      </c>
      <c r="D64" s="55"/>
      <c r="E64" s="55"/>
      <c r="F64" s="56"/>
      <c r="G64" s="50"/>
      <c r="H64" s="40">
        <f>H39+H41</f>
        <v>0</v>
      </c>
      <c r="I64" s="126">
        <f>I39+I41</f>
        <v>0</v>
      </c>
      <c r="J64" s="127">
        <f t="shared" ref="J64:Q64" si="43">J39+J41</f>
        <v>0</v>
      </c>
      <c r="K64" s="126">
        <f t="shared" si="43"/>
        <v>0</v>
      </c>
      <c r="L64" s="127">
        <f t="shared" si="43"/>
        <v>0</v>
      </c>
      <c r="M64" s="126">
        <f t="shared" si="43"/>
        <v>0</v>
      </c>
      <c r="N64" s="127">
        <f t="shared" si="43"/>
        <v>0</v>
      </c>
      <c r="O64" s="126">
        <f t="shared" si="43"/>
        <v>0</v>
      </c>
      <c r="P64" s="127">
        <f t="shared" si="43"/>
        <v>0</v>
      </c>
      <c r="Q64" s="126">
        <f t="shared" si="43"/>
        <v>0</v>
      </c>
      <c r="R64" s="128">
        <f>SUM(H64+J64+L64+N64+P64)</f>
        <v>0</v>
      </c>
      <c r="S64" s="16">
        <f>SUM(I64+K64+M64+O64+Q64)</f>
        <v>0</v>
      </c>
      <c r="T64" s="129">
        <f>SUM(R64+S64)</f>
        <v>0</v>
      </c>
      <c r="U64" s="12"/>
    </row>
    <row r="65" spans="1:21" s="6" customFormat="1" x14ac:dyDescent="0.25">
      <c r="A65" s="44"/>
      <c r="B65" s="44"/>
      <c r="C65" s="57"/>
      <c r="D65" s="58"/>
      <c r="E65" s="58"/>
      <c r="F65" s="59"/>
      <c r="G65" s="44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23"/>
      <c r="S65" s="23"/>
      <c r="T65" s="23"/>
      <c r="U65" s="5"/>
    </row>
    <row r="66" spans="1:21" ht="15.6" x14ac:dyDescent="0.3">
      <c r="A66" s="55" t="s">
        <v>24</v>
      </c>
      <c r="B66" s="27"/>
      <c r="C66" s="54" t="s">
        <v>76</v>
      </c>
      <c r="D66" s="62"/>
      <c r="E66" s="62"/>
      <c r="F66" s="42"/>
      <c r="G66" s="27"/>
      <c r="H66" s="37">
        <f t="shared" ref="H66:Q66" si="44">SUM(H67:H68)</f>
        <v>0</v>
      </c>
      <c r="I66" s="38">
        <f t="shared" si="44"/>
        <v>0</v>
      </c>
      <c r="J66" s="37">
        <f t="shared" si="44"/>
        <v>0</v>
      </c>
      <c r="K66" s="38">
        <f t="shared" si="44"/>
        <v>0</v>
      </c>
      <c r="L66" s="37">
        <f t="shared" si="44"/>
        <v>0</v>
      </c>
      <c r="M66" s="38">
        <f t="shared" si="44"/>
        <v>0</v>
      </c>
      <c r="N66" s="37">
        <f t="shared" si="44"/>
        <v>0</v>
      </c>
      <c r="O66" s="38">
        <f t="shared" si="44"/>
        <v>0</v>
      </c>
      <c r="P66" s="37">
        <f t="shared" si="44"/>
        <v>0</v>
      </c>
      <c r="Q66" s="38">
        <f t="shared" si="44"/>
        <v>0</v>
      </c>
      <c r="R66" s="15">
        <f t="shared" ref="R66:S68" si="45">SUM(H66+J66+L66+N66+P66)</f>
        <v>0</v>
      </c>
      <c r="S66" s="16">
        <f t="shared" si="45"/>
        <v>0</v>
      </c>
      <c r="T66" s="15">
        <f>SUM(R66+S66)</f>
        <v>0</v>
      </c>
    </row>
    <row r="67" spans="1:21" s="6" customFormat="1" ht="15.6" x14ac:dyDescent="0.3">
      <c r="A67" s="63"/>
      <c r="B67" s="44"/>
      <c r="C67" s="104">
        <v>1</v>
      </c>
      <c r="D67" s="113"/>
      <c r="E67" s="113"/>
      <c r="F67" s="105"/>
      <c r="G67" s="74"/>
      <c r="H67" s="106"/>
      <c r="I67" s="64"/>
      <c r="J67" s="106"/>
      <c r="K67" s="64"/>
      <c r="L67" s="106"/>
      <c r="M67" s="64"/>
      <c r="N67" s="106"/>
      <c r="O67" s="64"/>
      <c r="P67" s="114"/>
      <c r="Q67" s="64"/>
      <c r="R67" s="108">
        <f t="shared" si="45"/>
        <v>0</v>
      </c>
      <c r="S67" s="17">
        <f t="shared" si="45"/>
        <v>0</v>
      </c>
      <c r="T67" s="108">
        <f>SUM(R67+S67)</f>
        <v>0</v>
      </c>
      <c r="U67" s="5"/>
    </row>
    <row r="68" spans="1:21" s="6" customFormat="1" x14ac:dyDescent="0.25">
      <c r="A68" s="44"/>
      <c r="B68" s="44"/>
      <c r="C68" s="104">
        <v>2</v>
      </c>
      <c r="D68" s="115"/>
      <c r="E68" s="115"/>
      <c r="F68" s="105"/>
      <c r="G68" s="74"/>
      <c r="H68" s="106"/>
      <c r="I68" s="64"/>
      <c r="J68" s="106"/>
      <c r="K68" s="64"/>
      <c r="L68" s="106"/>
      <c r="M68" s="64"/>
      <c r="N68" s="106"/>
      <c r="O68" s="64"/>
      <c r="P68" s="114"/>
      <c r="Q68" s="64"/>
      <c r="R68" s="108">
        <f t="shared" si="45"/>
        <v>0</v>
      </c>
      <c r="S68" s="17">
        <f t="shared" si="45"/>
        <v>0</v>
      </c>
      <c r="T68" s="108">
        <f>SUM(R68+S68)</f>
        <v>0</v>
      </c>
      <c r="U68" s="5"/>
    </row>
    <row r="69" spans="1:21" s="6" customFormat="1" x14ac:dyDescent="0.25">
      <c r="A69" s="44"/>
      <c r="B69" s="44"/>
      <c r="C69" s="65"/>
      <c r="D69" s="44"/>
      <c r="E69" s="44"/>
      <c r="F69" s="44"/>
      <c r="G69" s="44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23"/>
      <c r="S69" s="23"/>
      <c r="T69" s="23"/>
      <c r="U69" s="5"/>
    </row>
    <row r="70" spans="1:21" ht="15.6" x14ac:dyDescent="0.3">
      <c r="A70" s="55" t="s">
        <v>25</v>
      </c>
      <c r="B70" s="35"/>
      <c r="C70" s="36" t="s">
        <v>26</v>
      </c>
      <c r="D70" s="32"/>
      <c r="E70" s="32"/>
      <c r="F70" s="32"/>
      <c r="G70" s="32"/>
      <c r="H70" s="37">
        <f t="shared" ref="H70:Q70" si="46">SUM(H71:H72)</f>
        <v>0</v>
      </c>
      <c r="I70" s="38">
        <f t="shared" si="46"/>
        <v>0</v>
      </c>
      <c r="J70" s="37">
        <f t="shared" si="46"/>
        <v>0</v>
      </c>
      <c r="K70" s="38">
        <f t="shared" si="46"/>
        <v>0</v>
      </c>
      <c r="L70" s="37">
        <f t="shared" si="46"/>
        <v>0</v>
      </c>
      <c r="M70" s="38">
        <f t="shared" si="46"/>
        <v>0</v>
      </c>
      <c r="N70" s="37">
        <f t="shared" si="46"/>
        <v>0</v>
      </c>
      <c r="O70" s="39">
        <f t="shared" si="46"/>
        <v>0</v>
      </c>
      <c r="P70" s="40">
        <f t="shared" si="46"/>
        <v>0</v>
      </c>
      <c r="Q70" s="39">
        <f t="shared" si="46"/>
        <v>0</v>
      </c>
      <c r="R70" s="15">
        <f t="shared" ref="R70:S72" si="47">SUM(H70+J70+L70+N70+P70)</f>
        <v>0</v>
      </c>
      <c r="S70" s="16">
        <f t="shared" si="47"/>
        <v>0</v>
      </c>
      <c r="T70" s="15">
        <f>SUM(R70+S70)</f>
        <v>0</v>
      </c>
    </row>
    <row r="71" spans="1:21" ht="15.6" x14ac:dyDescent="0.3">
      <c r="A71" s="34"/>
      <c r="B71" s="27"/>
      <c r="C71" s="104" t="s">
        <v>27</v>
      </c>
      <c r="D71" s="334"/>
      <c r="E71" s="334"/>
      <c r="F71" s="334"/>
      <c r="G71" s="335"/>
      <c r="H71" s="106">
        <v>0</v>
      </c>
      <c r="I71" s="25">
        <v>0</v>
      </c>
      <c r="J71" s="106">
        <v>0</v>
      </c>
      <c r="K71" s="25"/>
      <c r="L71" s="106">
        <v>0</v>
      </c>
      <c r="M71" s="25"/>
      <c r="N71" s="106">
        <v>0</v>
      </c>
      <c r="O71" s="26"/>
      <c r="P71" s="107">
        <v>0</v>
      </c>
      <c r="Q71" s="26"/>
      <c r="R71" s="108">
        <f t="shared" si="47"/>
        <v>0</v>
      </c>
      <c r="S71" s="17">
        <f t="shared" si="47"/>
        <v>0</v>
      </c>
      <c r="T71" s="108">
        <f>SUM(R71+S71)</f>
        <v>0</v>
      </c>
    </row>
    <row r="72" spans="1:21" x14ac:dyDescent="0.25">
      <c r="A72" s="27"/>
      <c r="B72" s="27"/>
      <c r="C72" s="110" t="s">
        <v>28</v>
      </c>
      <c r="D72" s="334"/>
      <c r="E72" s="334"/>
      <c r="F72" s="334"/>
      <c r="G72" s="335"/>
      <c r="H72" s="106">
        <v>0</v>
      </c>
      <c r="I72" s="25"/>
      <c r="J72" s="106">
        <v>0</v>
      </c>
      <c r="K72" s="25"/>
      <c r="L72" s="106">
        <v>0</v>
      </c>
      <c r="M72" s="25"/>
      <c r="N72" s="106">
        <v>0</v>
      </c>
      <c r="O72" s="26"/>
      <c r="P72" s="107">
        <v>0</v>
      </c>
      <c r="Q72" s="26"/>
      <c r="R72" s="108">
        <f t="shared" si="47"/>
        <v>0</v>
      </c>
      <c r="S72" s="17">
        <f t="shared" si="47"/>
        <v>0</v>
      </c>
      <c r="T72" s="108">
        <f>SUM(R72+S72)</f>
        <v>0</v>
      </c>
    </row>
    <row r="73" spans="1:21" x14ac:dyDescent="0.25">
      <c r="A73" s="27"/>
      <c r="B73" s="27"/>
      <c r="C73" s="43"/>
      <c r="D73" s="52"/>
      <c r="E73" s="52"/>
      <c r="F73" s="52"/>
      <c r="G73" s="52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9"/>
      <c r="S73" s="319"/>
      <c r="T73" s="319"/>
    </row>
    <row r="74" spans="1:21" ht="15.6" x14ac:dyDescent="0.3">
      <c r="A74" s="34" t="s">
        <v>29</v>
      </c>
      <c r="B74" s="27"/>
      <c r="C74" s="36" t="s">
        <v>30</v>
      </c>
      <c r="D74" s="32"/>
      <c r="E74" s="66"/>
      <c r="F74" s="67"/>
      <c r="G74" s="32"/>
      <c r="H74" s="37">
        <f t="shared" ref="H74:Q74" si="48">SUM(H75:H78)</f>
        <v>0</v>
      </c>
      <c r="I74" s="38">
        <f t="shared" si="48"/>
        <v>0</v>
      </c>
      <c r="J74" s="37">
        <f t="shared" si="48"/>
        <v>0</v>
      </c>
      <c r="K74" s="38">
        <f t="shared" si="48"/>
        <v>0</v>
      </c>
      <c r="L74" s="37">
        <f t="shared" si="48"/>
        <v>0</v>
      </c>
      <c r="M74" s="38">
        <f t="shared" si="48"/>
        <v>0</v>
      </c>
      <c r="N74" s="37">
        <f t="shared" si="48"/>
        <v>0</v>
      </c>
      <c r="O74" s="38">
        <f t="shared" si="48"/>
        <v>0</v>
      </c>
      <c r="P74" s="40">
        <f t="shared" si="48"/>
        <v>0</v>
      </c>
      <c r="Q74" s="38">
        <f t="shared" si="48"/>
        <v>0</v>
      </c>
      <c r="R74" s="15">
        <f>SUM(H74+J74+L74+N74+P74)</f>
        <v>0</v>
      </c>
      <c r="S74" s="16">
        <f>SUM(I74+K74+M74+O74+Q74)</f>
        <v>0</v>
      </c>
      <c r="T74" s="15">
        <f>SUM(R74+S74)</f>
        <v>0</v>
      </c>
    </row>
    <row r="75" spans="1:21" x14ac:dyDescent="0.25">
      <c r="A75" s="27"/>
      <c r="B75" s="27"/>
      <c r="C75" s="104" t="s">
        <v>31</v>
      </c>
      <c r="D75" s="334"/>
      <c r="E75" s="334"/>
      <c r="F75" s="334"/>
      <c r="G75" s="335"/>
      <c r="H75" s="106">
        <v>0</v>
      </c>
      <c r="I75" s="25"/>
      <c r="J75" s="106">
        <v>0</v>
      </c>
      <c r="K75" s="25"/>
      <c r="L75" s="106">
        <v>0</v>
      </c>
      <c r="M75" s="25"/>
      <c r="N75" s="106">
        <v>0</v>
      </c>
      <c r="O75" s="26"/>
      <c r="P75" s="107">
        <v>0</v>
      </c>
      <c r="Q75" s="26"/>
      <c r="R75" s="108">
        <f t="shared" ref="R75:S78" si="49">SUM(H75+J75+L75+N75+P75)</f>
        <v>0</v>
      </c>
      <c r="S75" s="17">
        <f t="shared" si="49"/>
        <v>0</v>
      </c>
      <c r="T75" s="108">
        <f>SUM(R75+S75)</f>
        <v>0</v>
      </c>
    </row>
    <row r="76" spans="1:21" x14ac:dyDescent="0.25">
      <c r="A76" s="27"/>
      <c r="B76" s="27"/>
      <c r="C76" s="116" t="s">
        <v>32</v>
      </c>
      <c r="D76" s="334"/>
      <c r="E76" s="334"/>
      <c r="F76" s="334"/>
      <c r="G76" s="335"/>
      <c r="H76" s="106">
        <v>0</v>
      </c>
      <c r="I76" s="25"/>
      <c r="J76" s="106">
        <v>0</v>
      </c>
      <c r="K76" s="25"/>
      <c r="L76" s="106">
        <v>0</v>
      </c>
      <c r="M76" s="25"/>
      <c r="N76" s="106">
        <v>0</v>
      </c>
      <c r="O76" s="26"/>
      <c r="P76" s="107">
        <v>0</v>
      </c>
      <c r="Q76" s="26"/>
      <c r="R76" s="108">
        <f t="shared" si="49"/>
        <v>0</v>
      </c>
      <c r="S76" s="17">
        <f t="shared" si="49"/>
        <v>0</v>
      </c>
      <c r="T76" s="108">
        <f>SUM(R76+S76)</f>
        <v>0</v>
      </c>
    </row>
    <row r="77" spans="1:21" x14ac:dyDescent="0.25">
      <c r="A77" s="27"/>
      <c r="B77" s="27"/>
      <c r="C77" s="116" t="s">
        <v>70</v>
      </c>
      <c r="D77" s="334"/>
      <c r="E77" s="334"/>
      <c r="F77" s="334"/>
      <c r="G77" s="335"/>
      <c r="H77" s="106">
        <v>0</v>
      </c>
      <c r="I77" s="25"/>
      <c r="J77" s="106">
        <v>0</v>
      </c>
      <c r="K77" s="25"/>
      <c r="L77" s="106">
        <v>0</v>
      </c>
      <c r="M77" s="25"/>
      <c r="N77" s="106">
        <v>0</v>
      </c>
      <c r="O77" s="26"/>
      <c r="P77" s="107">
        <v>0</v>
      </c>
      <c r="Q77" s="26"/>
      <c r="R77" s="108">
        <f t="shared" si="49"/>
        <v>0</v>
      </c>
      <c r="S77" s="17">
        <f t="shared" si="49"/>
        <v>0</v>
      </c>
      <c r="T77" s="108">
        <f>SUM(R77+S77)</f>
        <v>0</v>
      </c>
    </row>
    <row r="78" spans="1:21" x14ac:dyDescent="0.25">
      <c r="A78" s="27"/>
      <c r="B78" s="27"/>
      <c r="C78" s="104" t="s">
        <v>71</v>
      </c>
      <c r="D78" s="111"/>
      <c r="E78" s="111"/>
      <c r="F78" s="111"/>
      <c r="G78" s="111"/>
      <c r="H78" s="106">
        <v>0</v>
      </c>
      <c r="I78" s="25"/>
      <c r="J78" s="106">
        <v>0</v>
      </c>
      <c r="K78" s="25"/>
      <c r="L78" s="106">
        <v>0</v>
      </c>
      <c r="M78" s="25"/>
      <c r="N78" s="106">
        <v>0</v>
      </c>
      <c r="O78" s="26"/>
      <c r="P78" s="107">
        <v>0</v>
      </c>
      <c r="Q78" s="26"/>
      <c r="R78" s="108">
        <f t="shared" si="49"/>
        <v>0</v>
      </c>
      <c r="S78" s="17">
        <f t="shared" si="49"/>
        <v>0</v>
      </c>
      <c r="T78" s="108">
        <f>SUM(R78+S78)</f>
        <v>0</v>
      </c>
    </row>
    <row r="79" spans="1:21" s="6" customFormat="1" x14ac:dyDescent="0.25">
      <c r="A79" s="44"/>
      <c r="B79" s="44"/>
      <c r="C79" s="65"/>
      <c r="D79" s="44"/>
      <c r="E79" s="44"/>
      <c r="F79" s="44"/>
      <c r="G79" s="44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23"/>
      <c r="S79" s="23"/>
      <c r="T79" s="23"/>
      <c r="U79" s="5"/>
    </row>
    <row r="80" spans="1:21" ht="15.6" x14ac:dyDescent="0.3">
      <c r="A80" s="34" t="s">
        <v>33</v>
      </c>
      <c r="B80" s="35"/>
      <c r="C80" s="36" t="s">
        <v>34</v>
      </c>
      <c r="D80" s="32"/>
      <c r="E80" s="32"/>
      <c r="F80" s="32"/>
      <c r="G80" s="32"/>
      <c r="H80" s="37">
        <f t="shared" ref="H80:Q80" si="50">SUM(H81:H96)</f>
        <v>0</v>
      </c>
      <c r="I80" s="38">
        <f t="shared" si="50"/>
        <v>0</v>
      </c>
      <c r="J80" s="37">
        <f t="shared" si="50"/>
        <v>0</v>
      </c>
      <c r="K80" s="38">
        <f t="shared" si="50"/>
        <v>0</v>
      </c>
      <c r="L80" s="37">
        <f t="shared" si="50"/>
        <v>0</v>
      </c>
      <c r="M80" s="38">
        <f t="shared" si="50"/>
        <v>0</v>
      </c>
      <c r="N80" s="37">
        <f t="shared" si="50"/>
        <v>0</v>
      </c>
      <c r="O80" s="38">
        <f t="shared" si="50"/>
        <v>0</v>
      </c>
      <c r="P80" s="40">
        <f t="shared" si="50"/>
        <v>0</v>
      </c>
      <c r="Q80" s="38">
        <f t="shared" si="50"/>
        <v>0</v>
      </c>
      <c r="R80" s="15">
        <f>SUM(H80+J80+L80+N80+P80)</f>
        <v>0</v>
      </c>
      <c r="S80" s="16">
        <f>SUM(I80+K80+M80+O80+Q80)</f>
        <v>0</v>
      </c>
      <c r="T80" s="15">
        <f>SUM(R80+S80)</f>
        <v>0</v>
      </c>
    </row>
    <row r="81" spans="1:21" x14ac:dyDescent="0.25">
      <c r="A81" s="27"/>
      <c r="B81" s="27">
        <v>1</v>
      </c>
      <c r="C81" s="117" t="s">
        <v>45</v>
      </c>
      <c r="D81" s="118"/>
      <c r="E81" s="118"/>
      <c r="F81" s="118"/>
      <c r="G81" s="118"/>
      <c r="H81" s="106">
        <v>0</v>
      </c>
      <c r="I81" s="25"/>
      <c r="J81" s="106">
        <v>0</v>
      </c>
      <c r="K81" s="25"/>
      <c r="L81" s="106">
        <v>0</v>
      </c>
      <c r="M81" s="25"/>
      <c r="N81" s="106">
        <v>0</v>
      </c>
      <c r="O81" s="26"/>
      <c r="P81" s="107">
        <v>0</v>
      </c>
      <c r="Q81" s="26"/>
      <c r="R81" s="108">
        <f t="shared" ref="R81:S96" si="51">SUM(H81+J81+L81+N81+P81)</f>
        <v>0</v>
      </c>
      <c r="S81" s="17">
        <f t="shared" si="51"/>
        <v>0</v>
      </c>
      <c r="T81" s="108">
        <f t="shared" ref="T81:T96" si="52">SUM(R81+S81)</f>
        <v>0</v>
      </c>
    </row>
    <row r="82" spans="1:21" x14ac:dyDescent="0.25">
      <c r="A82" s="27"/>
      <c r="B82" s="27">
        <v>2</v>
      </c>
      <c r="C82" s="117" t="s">
        <v>46</v>
      </c>
      <c r="D82" s="74"/>
      <c r="E82" s="74"/>
      <c r="F82" s="74"/>
      <c r="G82" s="74"/>
      <c r="H82" s="106">
        <v>0</v>
      </c>
      <c r="I82" s="25"/>
      <c r="J82" s="106">
        <v>0</v>
      </c>
      <c r="K82" s="25"/>
      <c r="L82" s="106">
        <v>0</v>
      </c>
      <c r="M82" s="25"/>
      <c r="N82" s="106">
        <v>0</v>
      </c>
      <c r="O82" s="26"/>
      <c r="P82" s="107">
        <v>0</v>
      </c>
      <c r="Q82" s="26"/>
      <c r="R82" s="108">
        <f t="shared" si="51"/>
        <v>0</v>
      </c>
      <c r="S82" s="17">
        <f t="shared" si="51"/>
        <v>0</v>
      </c>
      <c r="T82" s="108">
        <f t="shared" si="52"/>
        <v>0</v>
      </c>
    </row>
    <row r="83" spans="1:21" s="155" customFormat="1" x14ac:dyDescent="0.25">
      <c r="A83" s="27"/>
      <c r="B83" s="27">
        <v>3</v>
      </c>
      <c r="C83" s="117" t="s">
        <v>165</v>
      </c>
      <c r="D83" s="74"/>
      <c r="E83" s="74"/>
      <c r="F83" s="74"/>
      <c r="G83" s="74"/>
      <c r="H83" s="106">
        <v>0</v>
      </c>
      <c r="I83" s="25"/>
      <c r="J83" s="106">
        <v>0</v>
      </c>
      <c r="K83" s="25"/>
      <c r="L83" s="106">
        <v>0</v>
      </c>
      <c r="M83" s="25"/>
      <c r="N83" s="106">
        <v>0</v>
      </c>
      <c r="O83" s="26"/>
      <c r="P83" s="107">
        <v>0</v>
      </c>
      <c r="Q83" s="26"/>
      <c r="R83" s="108">
        <f>SUM(H83+J83+L83+N83+P83)</f>
        <v>0</v>
      </c>
      <c r="S83" s="17">
        <f>SUM(I83+K83+M83+O83+Q83)</f>
        <v>0</v>
      </c>
      <c r="T83" s="108">
        <f>SUM(R83+S83)</f>
        <v>0</v>
      </c>
      <c r="U83" s="1"/>
    </row>
    <row r="84" spans="1:21" x14ac:dyDescent="0.25">
      <c r="A84" s="27"/>
      <c r="B84" s="27">
        <v>3</v>
      </c>
      <c r="C84" s="117" t="s">
        <v>47</v>
      </c>
      <c r="D84" s="74"/>
      <c r="E84" s="74"/>
      <c r="F84" s="74"/>
      <c r="G84" s="74"/>
      <c r="H84" s="106">
        <v>0</v>
      </c>
      <c r="I84" s="25"/>
      <c r="J84" s="106">
        <v>0</v>
      </c>
      <c r="K84" s="25"/>
      <c r="L84" s="106">
        <v>0</v>
      </c>
      <c r="M84" s="25"/>
      <c r="N84" s="106">
        <v>0</v>
      </c>
      <c r="O84" s="26"/>
      <c r="P84" s="107">
        <v>0</v>
      </c>
      <c r="Q84" s="26"/>
      <c r="R84" s="108">
        <f t="shared" si="51"/>
        <v>0</v>
      </c>
      <c r="S84" s="17">
        <f t="shared" si="51"/>
        <v>0</v>
      </c>
      <c r="T84" s="108">
        <f t="shared" si="52"/>
        <v>0</v>
      </c>
    </row>
    <row r="85" spans="1:21" x14ac:dyDescent="0.25">
      <c r="A85" s="27"/>
      <c r="B85" s="27">
        <v>4</v>
      </c>
      <c r="C85" s="117" t="s">
        <v>166</v>
      </c>
      <c r="D85" s="74"/>
      <c r="E85" s="74"/>
      <c r="F85" s="74"/>
      <c r="G85" s="74"/>
      <c r="H85" s="106">
        <v>0</v>
      </c>
      <c r="I85" s="25"/>
      <c r="J85" s="106">
        <v>0</v>
      </c>
      <c r="K85" s="25"/>
      <c r="L85" s="106">
        <v>0</v>
      </c>
      <c r="M85" s="25"/>
      <c r="N85" s="106">
        <v>0</v>
      </c>
      <c r="O85" s="26"/>
      <c r="P85" s="107">
        <v>0</v>
      </c>
      <c r="Q85" s="26"/>
      <c r="R85" s="108">
        <f t="shared" si="51"/>
        <v>0</v>
      </c>
      <c r="S85" s="17">
        <f t="shared" si="51"/>
        <v>0</v>
      </c>
      <c r="T85" s="108">
        <f t="shared" si="52"/>
        <v>0</v>
      </c>
    </row>
    <row r="86" spans="1:21" s="155" customFormat="1" x14ac:dyDescent="0.25">
      <c r="A86" s="27"/>
      <c r="B86" s="27">
        <v>4</v>
      </c>
      <c r="C86" s="110" t="s">
        <v>170</v>
      </c>
      <c r="D86" s="74"/>
      <c r="E86" s="74"/>
      <c r="F86" s="74"/>
      <c r="G86" s="74"/>
      <c r="H86" s="106">
        <v>0</v>
      </c>
      <c r="I86" s="25"/>
      <c r="J86" s="106">
        <v>0</v>
      </c>
      <c r="K86" s="25"/>
      <c r="L86" s="106">
        <v>0</v>
      </c>
      <c r="M86" s="25"/>
      <c r="N86" s="106">
        <v>0</v>
      </c>
      <c r="O86" s="26"/>
      <c r="P86" s="107">
        <v>0</v>
      </c>
      <c r="Q86" s="26"/>
      <c r="R86" s="108">
        <f>SUM(H86+J86+L86+N86+P86)</f>
        <v>0</v>
      </c>
      <c r="S86" s="17">
        <f>SUM(I86+K86+M86+O86+Q86)</f>
        <v>0</v>
      </c>
      <c r="T86" s="108">
        <f>SUM(R86+S86)</f>
        <v>0</v>
      </c>
      <c r="U86" s="1"/>
    </row>
    <row r="87" spans="1:21" x14ac:dyDescent="0.25">
      <c r="A87" s="27"/>
      <c r="B87" s="27">
        <v>5</v>
      </c>
      <c r="C87" s="104" t="s">
        <v>86</v>
      </c>
      <c r="D87" s="74"/>
      <c r="E87" s="119" t="s">
        <v>78</v>
      </c>
      <c r="F87" s="118"/>
      <c r="G87" s="74"/>
      <c r="H87" s="106">
        <v>0</v>
      </c>
      <c r="I87" s="25"/>
      <c r="J87" s="106">
        <v>0</v>
      </c>
      <c r="K87" s="25"/>
      <c r="L87" s="106">
        <v>0</v>
      </c>
      <c r="M87" s="25"/>
      <c r="N87" s="106">
        <v>0</v>
      </c>
      <c r="O87" s="26"/>
      <c r="P87" s="107">
        <v>0</v>
      </c>
      <c r="Q87" s="26"/>
      <c r="R87" s="108">
        <f t="shared" si="51"/>
        <v>0</v>
      </c>
      <c r="S87" s="17">
        <f t="shared" si="51"/>
        <v>0</v>
      </c>
      <c r="T87" s="108">
        <f t="shared" si="52"/>
        <v>0</v>
      </c>
    </row>
    <row r="88" spans="1:21" x14ac:dyDescent="0.25">
      <c r="A88" s="27"/>
      <c r="B88" s="27"/>
      <c r="C88" s="120" t="s">
        <v>84</v>
      </c>
      <c r="D88" s="74"/>
      <c r="E88" s="74"/>
      <c r="F88" s="119"/>
      <c r="G88" s="74"/>
      <c r="H88" s="106">
        <v>0</v>
      </c>
      <c r="I88" s="25"/>
      <c r="J88" s="106">
        <v>0</v>
      </c>
      <c r="K88" s="25"/>
      <c r="L88" s="106">
        <v>0</v>
      </c>
      <c r="M88" s="25"/>
      <c r="N88" s="106">
        <v>0</v>
      </c>
      <c r="O88" s="26"/>
      <c r="P88" s="107">
        <v>0</v>
      </c>
      <c r="Q88" s="26"/>
      <c r="R88" s="108">
        <f t="shared" si="51"/>
        <v>0</v>
      </c>
      <c r="S88" s="17">
        <f t="shared" si="51"/>
        <v>0</v>
      </c>
      <c r="T88" s="108">
        <f t="shared" si="52"/>
        <v>0</v>
      </c>
    </row>
    <row r="89" spans="1:21" x14ac:dyDescent="0.25">
      <c r="A89" s="27"/>
      <c r="B89" s="27">
        <v>6</v>
      </c>
      <c r="C89" s="104" t="s">
        <v>85</v>
      </c>
      <c r="D89" s="74"/>
      <c r="E89" s="119" t="s">
        <v>78</v>
      </c>
      <c r="F89" s="75"/>
      <c r="G89" s="74"/>
      <c r="H89" s="106">
        <v>0</v>
      </c>
      <c r="I89" s="25"/>
      <c r="J89" s="106">
        <v>0</v>
      </c>
      <c r="K89" s="25"/>
      <c r="L89" s="106">
        <v>0</v>
      </c>
      <c r="M89" s="25"/>
      <c r="N89" s="106">
        <v>0</v>
      </c>
      <c r="O89" s="26"/>
      <c r="P89" s="107">
        <v>0</v>
      </c>
      <c r="Q89" s="26"/>
      <c r="R89" s="108">
        <f t="shared" si="51"/>
        <v>0</v>
      </c>
      <c r="S89" s="17">
        <f t="shared" si="51"/>
        <v>0</v>
      </c>
      <c r="T89" s="108">
        <f t="shared" si="52"/>
        <v>0</v>
      </c>
    </row>
    <row r="90" spans="1:21" x14ac:dyDescent="0.25">
      <c r="A90" s="27"/>
      <c r="B90" s="27"/>
      <c r="C90" s="120" t="s">
        <v>84</v>
      </c>
      <c r="D90" s="74"/>
      <c r="E90" s="74"/>
      <c r="F90" s="119"/>
      <c r="G90" s="74"/>
      <c r="H90" s="106">
        <v>0</v>
      </c>
      <c r="I90" s="25"/>
      <c r="J90" s="106">
        <v>0</v>
      </c>
      <c r="K90" s="25"/>
      <c r="L90" s="106">
        <v>0</v>
      </c>
      <c r="M90" s="25"/>
      <c r="N90" s="106">
        <v>0</v>
      </c>
      <c r="O90" s="26"/>
      <c r="P90" s="107">
        <v>0</v>
      </c>
      <c r="Q90" s="26"/>
      <c r="R90" s="108">
        <f t="shared" si="51"/>
        <v>0</v>
      </c>
      <c r="S90" s="17">
        <f t="shared" si="51"/>
        <v>0</v>
      </c>
      <c r="T90" s="108">
        <f t="shared" si="52"/>
        <v>0</v>
      </c>
    </row>
    <row r="91" spans="1:21" x14ac:dyDescent="0.25">
      <c r="A91" s="27"/>
      <c r="B91" s="27">
        <v>7</v>
      </c>
      <c r="C91" s="110" t="s">
        <v>163</v>
      </c>
      <c r="E91" s="121" t="s">
        <v>79</v>
      </c>
      <c r="F91" s="122"/>
      <c r="G91" s="123"/>
      <c r="H91" s="108">
        <f>Tuition!K6</f>
        <v>0</v>
      </c>
      <c r="I91" s="25"/>
      <c r="J91" s="108">
        <f>Tuition!M6</f>
        <v>0</v>
      </c>
      <c r="K91" s="25"/>
      <c r="L91" s="108">
        <f>Tuition!O6</f>
        <v>0</v>
      </c>
      <c r="M91" s="25"/>
      <c r="N91" s="108">
        <f>Tuition!Q6</f>
        <v>0</v>
      </c>
      <c r="O91" s="26"/>
      <c r="P91" s="125">
        <f>Tuition!S6</f>
        <v>0</v>
      </c>
      <c r="Q91" s="26"/>
      <c r="R91" s="108">
        <f t="shared" si="51"/>
        <v>0</v>
      </c>
      <c r="S91" s="17">
        <f t="shared" si="51"/>
        <v>0</v>
      </c>
      <c r="T91" s="108">
        <f t="shared" si="52"/>
        <v>0</v>
      </c>
    </row>
    <row r="92" spans="1:21" x14ac:dyDescent="0.25">
      <c r="A92" s="27"/>
      <c r="B92" s="27">
        <v>8</v>
      </c>
      <c r="C92" s="110" t="s">
        <v>161</v>
      </c>
      <c r="E92" s="121" t="s">
        <v>79</v>
      </c>
      <c r="F92" s="122"/>
      <c r="G92" s="123"/>
      <c r="H92" s="108">
        <f>Tuition!K26</f>
        <v>0</v>
      </c>
      <c r="I92" s="25"/>
      <c r="J92" s="108">
        <f>Tuition!M26</f>
        <v>0</v>
      </c>
      <c r="K92" s="25"/>
      <c r="L92" s="108">
        <f>Tuition!O26</f>
        <v>0</v>
      </c>
      <c r="M92" s="25"/>
      <c r="N92" s="108">
        <f>Tuition!Q26</f>
        <v>0</v>
      </c>
      <c r="O92" s="26"/>
      <c r="P92" s="125">
        <f>Tuition!S26</f>
        <v>0</v>
      </c>
      <c r="Q92" s="26"/>
      <c r="R92" s="108">
        <f t="shared" si="51"/>
        <v>0</v>
      </c>
      <c r="S92" s="17">
        <f t="shared" si="51"/>
        <v>0</v>
      </c>
      <c r="T92" s="108">
        <f t="shared" si="52"/>
        <v>0</v>
      </c>
    </row>
    <row r="93" spans="1:21" s="155" customFormat="1" x14ac:dyDescent="0.25">
      <c r="A93" s="27"/>
      <c r="B93" s="27">
        <v>8</v>
      </c>
      <c r="C93" s="110" t="s">
        <v>162</v>
      </c>
      <c r="E93" s="121" t="s">
        <v>79</v>
      </c>
      <c r="F93" s="122"/>
      <c r="G93" s="123"/>
      <c r="H93" s="108">
        <f>Tuition!K46</f>
        <v>0</v>
      </c>
      <c r="I93" s="25"/>
      <c r="J93" s="108">
        <f>Tuition!M46</f>
        <v>0</v>
      </c>
      <c r="K93" s="25"/>
      <c r="L93" s="108">
        <f>Tuition!O46</f>
        <v>0</v>
      </c>
      <c r="M93" s="25"/>
      <c r="N93" s="108">
        <f>Tuition!Q46</f>
        <v>0</v>
      </c>
      <c r="O93" s="26"/>
      <c r="P93" s="125">
        <f>Tuition!S46</f>
        <v>0</v>
      </c>
      <c r="Q93" s="26"/>
      <c r="R93" s="108">
        <f>SUM(H93+J93+L93+N93+P93)</f>
        <v>0</v>
      </c>
      <c r="S93" s="17">
        <f>SUM(I93+K93+M93+O93+Q93)</f>
        <v>0</v>
      </c>
      <c r="T93" s="108">
        <f>SUM(R93+S93)</f>
        <v>0</v>
      </c>
      <c r="U93" s="1"/>
    </row>
    <row r="94" spans="1:21" s="155" customFormat="1" x14ac:dyDescent="0.25">
      <c r="A94" s="27"/>
      <c r="B94" s="27"/>
      <c r="C94" s="110" t="s">
        <v>235</v>
      </c>
      <c r="E94" s="121" t="s">
        <v>79</v>
      </c>
      <c r="F94" s="122"/>
      <c r="G94" s="293"/>
      <c r="H94" s="108">
        <f>Tuition!K67</f>
        <v>0</v>
      </c>
      <c r="I94" s="25"/>
      <c r="J94" s="108">
        <f>Tuition!M67</f>
        <v>0</v>
      </c>
      <c r="K94" s="25"/>
      <c r="L94" s="108">
        <f>Tuition!O67</f>
        <v>0</v>
      </c>
      <c r="M94" s="25"/>
      <c r="N94" s="108">
        <f>Tuition!Q67</f>
        <v>0</v>
      </c>
      <c r="O94" s="26"/>
      <c r="P94" s="125">
        <f>Tuition!S67</f>
        <v>0</v>
      </c>
      <c r="Q94" s="26"/>
      <c r="R94" s="108">
        <f>H94+J94+L94+N94+P94</f>
        <v>0</v>
      </c>
      <c r="S94" s="17">
        <f>I94+K94+M94+O94+Q94</f>
        <v>0</v>
      </c>
      <c r="T94" s="108">
        <f>S94+R94</f>
        <v>0</v>
      </c>
      <c r="U94" s="1"/>
    </row>
    <row r="95" spans="1:21" x14ac:dyDescent="0.25">
      <c r="A95" s="27"/>
      <c r="B95" s="27">
        <v>9</v>
      </c>
      <c r="C95" s="104" t="s">
        <v>77</v>
      </c>
      <c r="D95" s="74"/>
      <c r="E95" s="74"/>
      <c r="F95" s="74"/>
      <c r="G95" s="124"/>
      <c r="H95" s="106">
        <v>0</v>
      </c>
      <c r="I95" s="25"/>
      <c r="J95" s="106">
        <v>0</v>
      </c>
      <c r="K95" s="25"/>
      <c r="L95" s="106">
        <v>0</v>
      </c>
      <c r="M95" s="25"/>
      <c r="N95" s="106">
        <v>0</v>
      </c>
      <c r="O95" s="26"/>
      <c r="P95" s="107">
        <v>0</v>
      </c>
      <c r="Q95" s="26"/>
      <c r="R95" s="108">
        <f t="shared" si="51"/>
        <v>0</v>
      </c>
      <c r="S95" s="17">
        <f t="shared" si="51"/>
        <v>0</v>
      </c>
      <c r="T95" s="108">
        <f t="shared" si="52"/>
        <v>0</v>
      </c>
      <c r="U95" s="2"/>
    </row>
    <row r="96" spans="1:21" x14ac:dyDescent="0.25">
      <c r="A96" s="27"/>
      <c r="B96" s="27">
        <v>10</v>
      </c>
      <c r="C96" s="104" t="s">
        <v>77</v>
      </c>
      <c r="D96" s="74"/>
      <c r="E96" s="74"/>
      <c r="F96" s="74"/>
      <c r="G96" s="124"/>
      <c r="H96" s="106">
        <v>0</v>
      </c>
      <c r="I96" s="25"/>
      <c r="J96" s="106">
        <v>0</v>
      </c>
      <c r="K96" s="25"/>
      <c r="L96" s="106">
        <v>0</v>
      </c>
      <c r="M96" s="25"/>
      <c r="N96" s="106">
        <v>0</v>
      </c>
      <c r="O96" s="26"/>
      <c r="P96" s="107">
        <v>0</v>
      </c>
      <c r="Q96" s="26"/>
      <c r="R96" s="108">
        <f t="shared" si="51"/>
        <v>0</v>
      </c>
      <c r="S96" s="17">
        <f t="shared" si="51"/>
        <v>0</v>
      </c>
      <c r="T96" s="108">
        <f t="shared" si="52"/>
        <v>0</v>
      </c>
      <c r="U96" s="2"/>
    </row>
    <row r="97" spans="1:21" s="6" customFormat="1" x14ac:dyDescent="0.25">
      <c r="A97" s="44"/>
      <c r="B97" s="44"/>
      <c r="C97" s="65"/>
      <c r="D97" s="44"/>
      <c r="E97" s="44"/>
      <c r="F97" s="44"/>
      <c r="G97" s="68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23"/>
      <c r="S97" s="23"/>
      <c r="T97" s="23"/>
      <c r="U97" s="24"/>
    </row>
    <row r="98" spans="1:21" ht="15.6" x14ac:dyDescent="0.3">
      <c r="A98" s="27"/>
      <c r="B98" s="27"/>
      <c r="C98" s="54" t="s">
        <v>35</v>
      </c>
      <c r="D98" s="54"/>
      <c r="E98" s="54"/>
      <c r="F98" s="69"/>
      <c r="G98" s="70"/>
      <c r="H98" s="131">
        <f>H64+H66+H70+H74+H80</f>
        <v>0</v>
      </c>
      <c r="I98" s="39">
        <f t="shared" ref="I98:Q98" si="53">I64+I66+I70+I74+I80</f>
        <v>0</v>
      </c>
      <c r="J98" s="131">
        <f t="shared" si="53"/>
        <v>0</v>
      </c>
      <c r="K98" s="39">
        <f t="shared" si="53"/>
        <v>0</v>
      </c>
      <c r="L98" s="131">
        <f t="shared" si="53"/>
        <v>0</v>
      </c>
      <c r="M98" s="39">
        <f t="shared" si="53"/>
        <v>0</v>
      </c>
      <c r="N98" s="131">
        <f t="shared" si="53"/>
        <v>0</v>
      </c>
      <c r="O98" s="39">
        <f t="shared" si="53"/>
        <v>0</v>
      </c>
      <c r="P98" s="131">
        <f t="shared" si="53"/>
        <v>0</v>
      </c>
      <c r="Q98" s="126">
        <f t="shared" si="53"/>
        <v>0</v>
      </c>
      <c r="R98" s="134">
        <f>SUM(H98+J98+L98+N98+P98)</f>
        <v>0</v>
      </c>
      <c r="S98" s="16">
        <f>SUM(I98+K98+M98+O98+Q98)</f>
        <v>0</v>
      </c>
      <c r="T98" s="135">
        <f>SUM(R98+S98)</f>
        <v>0</v>
      </c>
      <c r="U98" s="2"/>
    </row>
    <row r="99" spans="1:21" s="6" customFormat="1" x14ac:dyDescent="0.25">
      <c r="A99" s="44"/>
      <c r="B99" s="44"/>
      <c r="C99" s="65"/>
      <c r="D99" s="44"/>
      <c r="E99" s="44"/>
      <c r="F99" s="44"/>
      <c r="G99" s="44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23"/>
      <c r="S99" s="23"/>
      <c r="T99" s="23"/>
      <c r="U99" s="5"/>
    </row>
    <row r="100" spans="1:21" ht="15.6" x14ac:dyDescent="0.3">
      <c r="A100" s="27"/>
      <c r="B100" s="27"/>
      <c r="C100" s="54" t="s">
        <v>43</v>
      </c>
      <c r="D100" s="54"/>
      <c r="E100" s="54"/>
      <c r="F100" s="71"/>
      <c r="G100" s="50"/>
      <c r="H100" s="131">
        <f t="shared" ref="H100:Q100" si="54">(H98-H66-H88-H90-H91-H92-H93-H74-H86)</f>
        <v>0</v>
      </c>
      <c r="I100" s="39">
        <f t="shared" si="54"/>
        <v>0</v>
      </c>
      <c r="J100" s="131">
        <f t="shared" si="54"/>
        <v>0</v>
      </c>
      <c r="K100" s="39">
        <f t="shared" si="54"/>
        <v>0</v>
      </c>
      <c r="L100" s="131">
        <f t="shared" si="54"/>
        <v>0</v>
      </c>
      <c r="M100" s="39">
        <f t="shared" si="54"/>
        <v>0</v>
      </c>
      <c r="N100" s="131">
        <f t="shared" si="54"/>
        <v>0</v>
      </c>
      <c r="O100" s="39">
        <f t="shared" si="54"/>
        <v>0</v>
      </c>
      <c r="P100" s="131">
        <f t="shared" si="54"/>
        <v>0</v>
      </c>
      <c r="Q100" s="39">
        <f t="shared" si="54"/>
        <v>0</v>
      </c>
      <c r="R100" s="134">
        <f>SUM(H100+J100+L100+N100+P100)</f>
        <v>0</v>
      </c>
      <c r="S100" s="16">
        <f>SUM(I100+K100+M100+O100+Q100)</f>
        <v>0</v>
      </c>
      <c r="T100" s="135">
        <f>SUM(R100+S100)</f>
        <v>0</v>
      </c>
    </row>
    <row r="101" spans="1:21" s="6" customFormat="1" x14ac:dyDescent="0.25">
      <c r="A101" s="44"/>
      <c r="B101" s="44"/>
      <c r="C101" s="110" t="s">
        <v>36</v>
      </c>
      <c r="D101" s="110"/>
      <c r="E101" s="110"/>
      <c r="F101" s="110"/>
      <c r="G101" s="74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23"/>
      <c r="S101" s="23"/>
      <c r="T101" s="23"/>
      <c r="U101" s="5"/>
    </row>
    <row r="102" spans="1:21" s="6" customFormat="1" ht="15" x14ac:dyDescent="0.25">
      <c r="A102" s="44"/>
      <c r="B102" s="44"/>
      <c r="C102" s="161"/>
      <c r="D102" s="45"/>
      <c r="E102" s="45"/>
      <c r="F102" s="45"/>
      <c r="G102" s="44"/>
      <c r="H102" s="47"/>
      <c r="I102" s="47" t="s">
        <v>236</v>
      </c>
      <c r="J102" s="47"/>
      <c r="K102" s="47"/>
      <c r="L102" s="47"/>
      <c r="M102" s="47"/>
      <c r="N102" s="47"/>
      <c r="O102" s="47"/>
      <c r="P102" s="47"/>
      <c r="Q102" s="47"/>
      <c r="R102" s="23"/>
      <c r="S102" s="23"/>
      <c r="T102" s="23"/>
      <c r="U102" s="5"/>
    </row>
    <row r="103" spans="1:21" ht="15.6" x14ac:dyDescent="0.3">
      <c r="A103" s="34" t="s">
        <v>37</v>
      </c>
      <c r="B103" s="35"/>
      <c r="C103" s="36" t="s">
        <v>38</v>
      </c>
      <c r="D103" s="32" t="s">
        <v>22</v>
      </c>
      <c r="E103" s="32"/>
      <c r="F103" s="32"/>
      <c r="G103" s="32"/>
      <c r="H103" s="132">
        <f t="shared" ref="H103:Q103" si="55">SUM(H104:H104)</f>
        <v>0</v>
      </c>
      <c r="I103" s="38">
        <f t="shared" si="55"/>
        <v>0</v>
      </c>
      <c r="J103" s="132">
        <f t="shared" si="55"/>
        <v>0</v>
      </c>
      <c r="K103" s="38">
        <f t="shared" si="55"/>
        <v>0</v>
      </c>
      <c r="L103" s="132">
        <f t="shared" si="55"/>
        <v>0</v>
      </c>
      <c r="M103" s="38">
        <f t="shared" si="55"/>
        <v>0</v>
      </c>
      <c r="N103" s="132">
        <f t="shared" si="55"/>
        <v>0</v>
      </c>
      <c r="O103" s="38">
        <f t="shared" si="55"/>
        <v>0</v>
      </c>
      <c r="P103" s="131">
        <f t="shared" si="55"/>
        <v>0</v>
      </c>
      <c r="Q103" s="38">
        <f t="shared" si="55"/>
        <v>0</v>
      </c>
      <c r="R103" s="133">
        <f>SUM(H103+J103+L103+N103+P103)</f>
        <v>0</v>
      </c>
      <c r="S103" s="16">
        <f>SUM(I103+K103+M103+O103+Q103)</f>
        <v>0</v>
      </c>
      <c r="T103" s="133">
        <f>SUM(R103+S103)</f>
        <v>0</v>
      </c>
    </row>
    <row r="104" spans="1:21" s="6" customFormat="1" ht="15.6" x14ac:dyDescent="0.3">
      <c r="A104" s="72"/>
      <c r="B104" s="44"/>
      <c r="C104" s="104" t="s">
        <v>39</v>
      </c>
      <c r="D104" s="111" t="str">
        <f>IF(G5=U4,"52% 53%",G4)</f>
        <v>52% 53%</v>
      </c>
      <c r="E104" s="334" t="s">
        <v>40</v>
      </c>
      <c r="F104" s="334"/>
      <c r="G104" s="335"/>
      <c r="H104" s="106">
        <f>IF(G5=U4,'F&amp;A Calculation- Sponsor Funds '!I22,IF(G5=U5,H98*G4,G4*H100))</f>
        <v>0</v>
      </c>
      <c r="I104" s="25">
        <f>IF(G5=U4,'F&amp;A Calculations - Cost Share'!I22,IF(G5=U5,I98*G4,G4*I100))</f>
        <v>0</v>
      </c>
      <c r="J104" s="106">
        <f>IF(G5=U4,'F&amp;A Calculation- Sponsor Funds '!I32,IF(G5=U5,J98*G4,G4*J100))</f>
        <v>0</v>
      </c>
      <c r="K104" s="25">
        <f>IF(G5=U4, 'F&amp;A Calculations - Cost Share'!I32,IF(G5=U5,K98*G4,G4*K100))</f>
        <v>0</v>
      </c>
      <c r="L104" s="106">
        <f>IF(G5=U4,'F&amp;A Calculation- Sponsor Funds '!I42,IF(G5=U5,L98*G4,G4*L100))</f>
        <v>0</v>
      </c>
      <c r="M104" s="25">
        <f>IF(G5=U4, 'F&amp;A Calculations - Cost Share'!I42,IF(G5=U5,M98*G4,G4*M100))</f>
        <v>0</v>
      </c>
      <c r="N104" s="106">
        <f>IF(G5=U4,'F&amp;A Calculation- Sponsor Funds '!I52,IF(G5=U5,N98*G4,G4*N100))</f>
        <v>0</v>
      </c>
      <c r="O104" s="25">
        <f>IF(G5=U4, 'F&amp;A Calculations - Cost Share'!I52,IF(G5=U5,O98*G4,G4*O100))</f>
        <v>0</v>
      </c>
      <c r="P104" s="106">
        <f>IF(G5=U4,'F&amp;A Calculation- Sponsor Funds '!I62,IF(G5=U5,P98*G4,G4*P100))</f>
        <v>0</v>
      </c>
      <c r="Q104" s="25">
        <f>IF(G5=U4, 'F&amp;A Calculations - Cost Share'!I62,IF(G5=U5,Q98*G4,G4*Q100))</f>
        <v>0</v>
      </c>
      <c r="R104" s="108">
        <f>SUM(H104+J104+L104+N104+P104)</f>
        <v>0</v>
      </c>
      <c r="S104" s="17">
        <f>SUM(I104+K104+M104+O104+Q104)</f>
        <v>0</v>
      </c>
      <c r="T104" s="108">
        <f>SUM(R104+S104)</f>
        <v>0</v>
      </c>
      <c r="U104" s="5"/>
    </row>
    <row r="105" spans="1:21" s="6" customFormat="1" ht="15.6" x14ac:dyDescent="0.3">
      <c r="A105" s="72"/>
      <c r="B105" s="44"/>
      <c r="C105" s="162"/>
      <c r="D105" s="59"/>
      <c r="E105" s="59"/>
      <c r="F105" s="59"/>
      <c r="G105" s="235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"/>
      <c r="S105" s="23"/>
      <c r="T105" s="23"/>
      <c r="U105" s="5"/>
    </row>
    <row r="106" spans="1:21" s="6" customFormat="1" x14ac:dyDescent="0.25">
      <c r="A106" s="44"/>
      <c r="B106" s="44"/>
      <c r="C106" s="44"/>
      <c r="D106" s="45"/>
      <c r="E106" s="45"/>
      <c r="F106" s="45"/>
      <c r="G106" s="236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"/>
      <c r="S106" s="23"/>
      <c r="T106" s="23"/>
      <c r="U106" s="5"/>
    </row>
    <row r="107" spans="1:21" ht="15.6" x14ac:dyDescent="0.3">
      <c r="A107" s="34" t="s">
        <v>41</v>
      </c>
      <c r="B107" s="35"/>
      <c r="C107" s="54" t="s">
        <v>100</v>
      </c>
      <c r="D107" s="32"/>
      <c r="E107" s="32"/>
      <c r="F107" s="32"/>
      <c r="G107" s="32"/>
      <c r="H107" s="132">
        <f t="shared" ref="H107:Q107" si="56">H98+H103</f>
        <v>0</v>
      </c>
      <c r="I107" s="38">
        <f t="shared" si="56"/>
        <v>0</v>
      </c>
      <c r="J107" s="132">
        <f t="shared" si="56"/>
        <v>0</v>
      </c>
      <c r="K107" s="38">
        <f t="shared" si="56"/>
        <v>0</v>
      </c>
      <c r="L107" s="132">
        <f t="shared" si="56"/>
        <v>0</v>
      </c>
      <c r="M107" s="38">
        <f t="shared" si="56"/>
        <v>0</v>
      </c>
      <c r="N107" s="132">
        <f t="shared" si="56"/>
        <v>0</v>
      </c>
      <c r="O107" s="38">
        <f t="shared" si="56"/>
        <v>0</v>
      </c>
      <c r="P107" s="132">
        <f t="shared" si="56"/>
        <v>0</v>
      </c>
      <c r="Q107" s="38">
        <f t="shared" si="56"/>
        <v>0</v>
      </c>
      <c r="R107" s="133">
        <f>SUM(H107+J107+L107+N107+P107)</f>
        <v>0</v>
      </c>
      <c r="S107" s="16">
        <f>SUM(I107+K107+M107+O107+Q107)</f>
        <v>0</v>
      </c>
      <c r="T107" s="133">
        <f>SUM(R107+S107)</f>
        <v>0</v>
      </c>
      <c r="U107" s="2"/>
    </row>
    <row r="108" spans="1:21" ht="15.6" x14ac:dyDescent="0.3">
      <c r="A108" s="73"/>
      <c r="B108" s="74"/>
      <c r="C108" s="130"/>
      <c r="D108" s="45"/>
      <c r="E108" s="45"/>
      <c r="F108" s="45"/>
      <c r="G108" s="45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</row>
    <row r="112" spans="1:21" x14ac:dyDescent="0.25">
      <c r="H112" s="231"/>
    </row>
    <row r="113" spans="3:21" x14ac:dyDescent="0.25">
      <c r="C113" s="78" t="s">
        <v>80</v>
      </c>
      <c r="J113" s="79"/>
      <c r="K113" s="79"/>
      <c r="L113" s="79"/>
      <c r="M113" s="79"/>
      <c r="U113"/>
    </row>
    <row r="114" spans="3:21" x14ac:dyDescent="0.25">
      <c r="C114" s="78"/>
      <c r="J114" s="79"/>
      <c r="K114" s="79"/>
      <c r="L114" s="79"/>
      <c r="M114" s="79"/>
      <c r="U114"/>
    </row>
    <row r="115" spans="3:21" x14ac:dyDescent="0.25">
      <c r="C115" s="333" t="s">
        <v>88</v>
      </c>
      <c r="D115" s="333"/>
      <c r="E115" s="333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3"/>
      <c r="R115" s="333"/>
      <c r="S115" s="80"/>
      <c r="T115" s="80"/>
      <c r="U115"/>
    </row>
    <row r="116" spans="3:21" x14ac:dyDescent="0.25">
      <c r="C116" s="78"/>
      <c r="J116" s="79"/>
      <c r="K116" s="79"/>
      <c r="L116" s="79"/>
      <c r="M116" s="79"/>
      <c r="U116"/>
    </row>
    <row r="117" spans="3:21" ht="12.75" customHeight="1" x14ac:dyDescent="0.25">
      <c r="C117" s="333" t="s">
        <v>89</v>
      </c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3"/>
      <c r="R117" s="333"/>
      <c r="S117" s="81"/>
      <c r="T117" s="81"/>
      <c r="U117"/>
    </row>
    <row r="118" spans="3:21" x14ac:dyDescent="0.25">
      <c r="C118" s="78"/>
      <c r="J118" s="79"/>
      <c r="K118" s="79"/>
      <c r="L118" s="79"/>
      <c r="M118" s="79"/>
      <c r="U118"/>
    </row>
    <row r="119" spans="3:21" x14ac:dyDescent="0.25">
      <c r="S119" s="80"/>
      <c r="T119" s="80"/>
      <c r="U119"/>
    </row>
    <row r="120" spans="3:21" x14ac:dyDescent="0.25">
      <c r="C120" s="78"/>
      <c r="H120" s="79"/>
      <c r="I120" s="79"/>
      <c r="U120"/>
    </row>
    <row r="121" spans="3:21" x14ac:dyDescent="0.25"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</row>
    <row r="122" spans="3:21" x14ac:dyDescent="0.25">
      <c r="C122" s="78" t="s">
        <v>81</v>
      </c>
      <c r="H122" s="83" t="s">
        <v>101</v>
      </c>
      <c r="I122" s="78"/>
      <c r="J122" s="84"/>
      <c r="K122" s="84"/>
      <c r="L122" s="84"/>
      <c r="M122" s="85"/>
      <c r="N122" s="85"/>
      <c r="O122" s="85"/>
      <c r="U122"/>
    </row>
    <row r="123" spans="3:21" x14ac:dyDescent="0.25">
      <c r="C123" s="77" t="s">
        <v>72</v>
      </c>
      <c r="D123" s="86">
        <v>0.27500000000000002</v>
      </c>
      <c r="E123" s="86"/>
      <c r="H123" s="85"/>
      <c r="I123" s="85"/>
      <c r="J123" s="85"/>
      <c r="K123" s="85"/>
      <c r="L123" s="85"/>
      <c r="M123" s="85"/>
      <c r="N123" s="85"/>
      <c r="O123" s="85"/>
      <c r="U123"/>
    </row>
    <row r="124" spans="3:21" x14ac:dyDescent="0.25">
      <c r="C124" s="77" t="s">
        <v>20</v>
      </c>
      <c r="D124" s="86">
        <v>9.8000000000000004E-2</v>
      </c>
      <c r="E124" s="86"/>
      <c r="H124" s="87">
        <v>0.5</v>
      </c>
      <c r="I124" s="88" t="s">
        <v>102</v>
      </c>
      <c r="J124" s="89"/>
      <c r="K124" s="90"/>
      <c r="L124" s="91"/>
      <c r="M124" s="92"/>
      <c r="N124" s="85"/>
      <c r="U124"/>
    </row>
    <row r="125" spans="3:21" x14ac:dyDescent="0.25">
      <c r="C125" s="77" t="s">
        <v>24</v>
      </c>
      <c r="D125" s="86">
        <v>0.32900000000000001</v>
      </c>
      <c r="E125" s="86"/>
      <c r="H125" s="93">
        <v>0.51</v>
      </c>
      <c r="I125" s="92" t="s">
        <v>103</v>
      </c>
      <c r="J125" s="94"/>
      <c r="K125" s="95"/>
      <c r="L125" s="91"/>
      <c r="M125" s="92"/>
      <c r="N125" s="85"/>
      <c r="U125"/>
    </row>
    <row r="126" spans="3:21" x14ac:dyDescent="0.25">
      <c r="C126" s="77" t="s">
        <v>73</v>
      </c>
      <c r="D126" s="86">
        <v>0.34499999999999997</v>
      </c>
      <c r="E126" s="86"/>
      <c r="H126" s="93">
        <v>0.32</v>
      </c>
      <c r="I126" s="92" t="s">
        <v>104</v>
      </c>
      <c r="J126" s="94"/>
      <c r="K126" s="95"/>
      <c r="L126" s="91"/>
      <c r="M126" s="92"/>
      <c r="N126" s="85"/>
      <c r="U126"/>
    </row>
    <row r="127" spans="3:21" x14ac:dyDescent="0.25">
      <c r="C127" s="77" t="s">
        <v>25</v>
      </c>
      <c r="D127" s="96">
        <v>0.45800000000000002</v>
      </c>
      <c r="E127" s="96"/>
      <c r="H127" s="97">
        <v>0.26</v>
      </c>
      <c r="I127" s="98" t="s">
        <v>105</v>
      </c>
      <c r="J127" s="99"/>
      <c r="K127" s="100"/>
      <c r="L127" s="91"/>
      <c r="M127" s="92"/>
      <c r="N127" s="85"/>
      <c r="U127"/>
    </row>
    <row r="128" spans="3:21" x14ac:dyDescent="0.25">
      <c r="C128" s="77" t="s">
        <v>74</v>
      </c>
      <c r="D128" s="86">
        <v>6.0000000000000001E-3</v>
      </c>
      <c r="E128" s="86"/>
      <c r="H128" s="79"/>
      <c r="I128" s="79"/>
      <c r="U128"/>
    </row>
    <row r="129" spans="3:21" x14ac:dyDescent="0.25">
      <c r="C129" s="77" t="s">
        <v>75</v>
      </c>
      <c r="D129" s="96">
        <v>0.17100000000000001</v>
      </c>
      <c r="E129" s="96"/>
      <c r="H129" s="79"/>
      <c r="I129" s="79"/>
      <c r="U129"/>
    </row>
    <row r="130" spans="3:21" x14ac:dyDescent="0.25">
      <c r="H130" s="79"/>
      <c r="I130" s="79"/>
      <c r="U130"/>
    </row>
    <row r="131" spans="3:21" x14ac:dyDescent="0.25">
      <c r="C131" s="101" t="s">
        <v>87</v>
      </c>
      <c r="H131" s="79"/>
      <c r="I131" s="79"/>
      <c r="U131"/>
    </row>
    <row r="132" spans="3:21" x14ac:dyDescent="0.25">
      <c r="C132" s="164" t="s">
        <v>174</v>
      </c>
      <c r="H132" s="79"/>
      <c r="I132" s="79"/>
      <c r="U132"/>
    </row>
    <row r="133" spans="3:21" x14ac:dyDescent="0.25">
      <c r="C133" s="102" t="s">
        <v>175</v>
      </c>
      <c r="H133" s="79"/>
      <c r="I133" s="79"/>
      <c r="U133"/>
    </row>
    <row r="134" spans="3:21" x14ac:dyDescent="0.25">
      <c r="H134" s="79"/>
      <c r="I134" s="79"/>
      <c r="U134"/>
    </row>
    <row r="135" spans="3:21" x14ac:dyDescent="0.25">
      <c r="H135" s="79"/>
      <c r="I135" s="79"/>
      <c r="U135"/>
    </row>
  </sheetData>
  <mergeCells count="19">
    <mergeCell ref="C117:R117"/>
    <mergeCell ref="D71:G71"/>
    <mergeCell ref="D72:G72"/>
    <mergeCell ref="D75:G75"/>
    <mergeCell ref="C115:R115"/>
    <mergeCell ref="D76:G76"/>
    <mergeCell ref="D77:G77"/>
    <mergeCell ref="E104:G104"/>
    <mergeCell ref="E3:F3"/>
    <mergeCell ref="S9:S12"/>
    <mergeCell ref="T9:T12"/>
    <mergeCell ref="S1:T1"/>
    <mergeCell ref="H9:I9"/>
    <mergeCell ref="J9:K9"/>
    <mergeCell ref="L9:M9"/>
    <mergeCell ref="N9:O9"/>
    <mergeCell ref="P9:Q9"/>
    <mergeCell ref="R9:R12"/>
    <mergeCell ref="S2:T2"/>
  </mergeCells>
  <phoneticPr fontId="6" type="noConversion"/>
  <dataValidations count="2">
    <dataValidation allowBlank="1" showInputMessage="1" showErrorMessage="1" promptTitle="Reminder" prompt="Postdoc minimum can be found at http://www.grad-college.iastate.edu/post_doc/policies.php" sqref="D26"/>
    <dataValidation type="list" allowBlank="1" showInputMessage="1" showErrorMessage="1" sqref="G5">
      <formula1>FA_RATE</formula1>
    </dataValidation>
  </dataValidations>
  <hyperlinks>
    <hyperlink ref="C133" r:id="rId1"/>
  </hyperlinks>
  <printOptions horizontalCentered="1"/>
  <pageMargins left="0.75" right="0.75" top="1" bottom="1" header="0.5" footer="0.5"/>
  <pageSetup scale="29" orientation="landscape" horizontalDpi="1200" verticalDpi="1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workbookViewId="0">
      <selection activeCell="B37" sqref="B37"/>
    </sheetView>
  </sheetViews>
  <sheetFormatPr defaultColWidth="16.33203125" defaultRowHeight="13.2" x14ac:dyDescent="0.25"/>
  <cols>
    <col min="1" max="1" width="25.88671875" style="165" bestFit="1" customWidth="1"/>
    <col min="2" max="2" width="11" style="165" customWidth="1"/>
    <col min="3" max="3" width="11.44140625" style="165" hidden="1" customWidth="1"/>
    <col min="4" max="4" width="24.109375" style="165" customWidth="1"/>
    <col min="5" max="5" width="16.33203125" style="165" bestFit="1" customWidth="1"/>
    <col min="6" max="6" width="11.88671875" style="165" bestFit="1" customWidth="1"/>
    <col min="7" max="7" width="13.88671875" style="165" hidden="1" customWidth="1"/>
    <col min="8" max="8" width="9" style="165" bestFit="1" customWidth="1"/>
    <col min="9" max="9" width="15.109375" style="165" bestFit="1" customWidth="1"/>
    <col min="10" max="10" width="14" style="165" bestFit="1" customWidth="1"/>
    <col min="11" max="11" width="26.88671875" style="165" bestFit="1" customWidth="1"/>
    <col min="12" max="12" width="13.109375" style="165" bestFit="1" customWidth="1"/>
    <col min="13" max="13" width="11.44140625" style="165" bestFit="1" customWidth="1"/>
    <col min="14" max="16384" width="16.33203125" style="165"/>
  </cols>
  <sheetData>
    <row r="1" spans="1:13" x14ac:dyDescent="0.25">
      <c r="D1" s="230" t="s">
        <v>211</v>
      </c>
    </row>
    <row r="3" spans="1:13" x14ac:dyDescent="0.25">
      <c r="A3" s="230" t="s">
        <v>210</v>
      </c>
      <c r="B3" s="190" t="s">
        <v>209</v>
      </c>
    </row>
    <row r="4" spans="1:13" x14ac:dyDescent="0.25">
      <c r="A4" s="230"/>
      <c r="B4" s="190" t="s">
        <v>208</v>
      </c>
    </row>
    <row r="5" spans="1:13" x14ac:dyDescent="0.25">
      <c r="A5" s="230"/>
      <c r="B5" s="190"/>
    </row>
    <row r="6" spans="1:13" hidden="1" x14ac:dyDescent="0.25">
      <c r="A6" s="230"/>
      <c r="B6" s="190" t="s">
        <v>207</v>
      </c>
    </row>
    <row r="7" spans="1:13" hidden="1" x14ac:dyDescent="0.25">
      <c r="A7" s="230"/>
      <c r="B7" s="190" t="s">
        <v>206</v>
      </c>
    </row>
    <row r="8" spans="1:13" hidden="1" x14ac:dyDescent="0.25">
      <c r="A8" s="230"/>
      <c r="B8" s="190"/>
    </row>
    <row r="9" spans="1:13" x14ac:dyDescent="0.25">
      <c r="A9" s="230"/>
      <c r="B9" s="190" t="s">
        <v>205</v>
      </c>
    </row>
    <row r="10" spans="1:13" ht="13.8" thickBot="1" x14ac:dyDescent="0.3">
      <c r="A10" s="230"/>
      <c r="B10" s="190"/>
    </row>
    <row r="11" spans="1:13" x14ac:dyDescent="0.25">
      <c r="A11" s="230"/>
      <c r="B11" s="229"/>
      <c r="C11" s="228"/>
      <c r="D11" s="227" t="s">
        <v>204</v>
      </c>
      <c r="E11" s="228"/>
      <c r="F11" s="228"/>
      <c r="G11" s="228"/>
      <c r="H11" s="228"/>
      <c r="I11" s="227" t="s">
        <v>203</v>
      </c>
    </row>
    <row r="12" spans="1:13" ht="13.8" thickBot="1" x14ac:dyDescent="0.3">
      <c r="A12" s="226" t="s">
        <v>202</v>
      </c>
      <c r="B12" s="225"/>
      <c r="C12" s="224"/>
      <c r="D12" s="223">
        <f>D22+D32+D42+D52+D62+D72+D82</f>
        <v>0</v>
      </c>
      <c r="E12" s="224"/>
      <c r="F12" s="224"/>
      <c r="G12" s="224"/>
      <c r="H12" s="224"/>
      <c r="I12" s="223">
        <f>I22+I32+I42+I52+I62+I72+I82</f>
        <v>0</v>
      </c>
    </row>
    <row r="15" spans="1:13" ht="27" thickBot="1" x14ac:dyDescent="0.3">
      <c r="A15" s="207" t="s">
        <v>201</v>
      </c>
      <c r="B15" s="203" t="s">
        <v>190</v>
      </c>
      <c r="C15" s="204" t="s">
        <v>188</v>
      </c>
      <c r="D15" s="206" t="s">
        <v>189</v>
      </c>
      <c r="E15" s="204" t="s">
        <v>188</v>
      </c>
      <c r="F15" s="205"/>
      <c r="G15" s="204" t="s">
        <v>188</v>
      </c>
      <c r="H15" s="190"/>
      <c r="I15" s="204" t="s">
        <v>188</v>
      </c>
      <c r="J15" s="204" t="s">
        <v>188</v>
      </c>
      <c r="K15" s="222" t="s">
        <v>200</v>
      </c>
      <c r="L15" s="221"/>
    </row>
    <row r="16" spans="1:13" ht="13.8" thickBot="1" x14ac:dyDescent="0.3">
      <c r="A16" s="190"/>
      <c r="B16" s="203" t="s">
        <v>187</v>
      </c>
      <c r="C16" s="200" t="s">
        <v>186</v>
      </c>
      <c r="D16" s="202" t="s">
        <v>185</v>
      </c>
      <c r="E16" s="201" t="s">
        <v>184</v>
      </c>
      <c r="F16" s="200" t="s">
        <v>183</v>
      </c>
      <c r="G16" s="200" t="s">
        <v>182</v>
      </c>
      <c r="H16" s="199" t="s">
        <v>176</v>
      </c>
      <c r="I16" s="199" t="s">
        <v>181</v>
      </c>
      <c r="J16" s="198" t="s">
        <v>180</v>
      </c>
      <c r="K16" s="219" t="s">
        <v>199</v>
      </c>
      <c r="L16" s="220" t="s">
        <v>198</v>
      </c>
      <c r="M16" s="219" t="s">
        <v>197</v>
      </c>
    </row>
    <row r="17" spans="1:13" ht="13.8" thickBot="1" x14ac:dyDescent="0.3">
      <c r="A17" s="197" t="s">
        <v>179</v>
      </c>
      <c r="B17" s="191">
        <f>Summary!H11</f>
        <v>42917</v>
      </c>
      <c r="C17" s="196">
        <f>ROUND(IF((B17=0),0,(B18-B17))/30,0)</f>
        <v>12</v>
      </c>
      <c r="D17" s="195">
        <f>Summary!H100</f>
        <v>0</v>
      </c>
      <c r="E17" s="194">
        <f>IF(ISERROR(D17/F22),0,(D17/F22))</f>
        <v>0</v>
      </c>
      <c r="F17" s="186">
        <f>IF(OR($B$18&lt;$K17,$B$17&gt;$L17),0,(MIN($B$18,$L17)-MAX($B$17,$K17)+1))</f>
        <v>0</v>
      </c>
      <c r="G17" s="186">
        <f>ROUND(IF(ISERROR(F17/365),0,(F17/365)*12),2)</f>
        <v>0</v>
      </c>
      <c r="H17" s="185">
        <f>IF(OR($B$18&lt;$K17,$B$17&gt;$L17),0,M17)</f>
        <v>0</v>
      </c>
      <c r="I17" s="184">
        <f>(F17*$E$17)*H17</f>
        <v>0</v>
      </c>
      <c r="J17" s="183">
        <f>IF(ISERROR(I17/H17),0,(I17/H17))</f>
        <v>0</v>
      </c>
      <c r="K17" s="216">
        <v>42552</v>
      </c>
      <c r="L17" s="215">
        <v>42916</v>
      </c>
      <c r="M17" s="214">
        <v>0.52</v>
      </c>
    </row>
    <row r="18" spans="1:13" ht="13.8" thickBot="1" x14ac:dyDescent="0.3">
      <c r="A18" s="192" t="s">
        <v>178</v>
      </c>
      <c r="B18" s="191">
        <f>Summary!I11</f>
        <v>43281</v>
      </c>
      <c r="C18" s="218"/>
      <c r="D18" s="188"/>
      <c r="E18" s="187"/>
      <c r="F18" s="186">
        <f>IF(OR($B$18&lt;$K18,$B$17&gt;$L18),0,(MIN($B$18,$L18)-MAX($B$17,$K18)+1))</f>
        <v>365</v>
      </c>
      <c r="G18" s="186">
        <f>ROUND(IF(ISERROR(F18/365),0,(F18/365)*12),2)</f>
        <v>12</v>
      </c>
      <c r="H18" s="185">
        <f>IF(OR($B$18&lt;$K18,$B$17&gt;$L18),0,M18)</f>
        <v>0.52</v>
      </c>
      <c r="I18" s="184">
        <f>(F18*$E$17)*H18</f>
        <v>0</v>
      </c>
      <c r="J18" s="183">
        <f>IF(ISERROR(I18/H18),0,(I18/H18))</f>
        <v>0</v>
      </c>
      <c r="K18" s="216">
        <v>42917</v>
      </c>
      <c r="L18" s="215">
        <v>43281</v>
      </c>
      <c r="M18" s="214">
        <v>0.52</v>
      </c>
    </row>
    <row r="19" spans="1:13" x14ac:dyDescent="0.25">
      <c r="C19" s="217"/>
      <c r="D19" s="188"/>
      <c r="E19" s="187"/>
      <c r="F19" s="186">
        <f>IF(OR($B$18&lt;$K19,$B$17&gt;$L19),0,(MIN($B$18,$L19)-MAX($B$17,$K19)+1))</f>
        <v>0</v>
      </c>
      <c r="G19" s="186">
        <f>ROUND(IF(ISERROR(F19/365),0,(F19/365)*12),2)</f>
        <v>0</v>
      </c>
      <c r="H19" s="185">
        <f>IF(OR($B$18&lt;$K19,$B$17&gt;$L19),0,M19)</f>
        <v>0</v>
      </c>
      <c r="I19" s="184">
        <f>(F19*$E$17)*H19</f>
        <v>0</v>
      </c>
      <c r="J19" s="183">
        <f>IF(ISERROR(I19/H19),0,(I19/H19))</f>
        <v>0</v>
      </c>
      <c r="K19" s="216">
        <v>43282</v>
      </c>
      <c r="L19" s="215">
        <v>43646</v>
      </c>
      <c r="M19" s="214">
        <v>0.53</v>
      </c>
    </row>
    <row r="20" spans="1:13" x14ac:dyDescent="0.25">
      <c r="A20" s="190"/>
      <c r="C20" s="189"/>
      <c r="D20" s="188"/>
      <c r="E20" s="187"/>
      <c r="F20" s="186">
        <f>IF(OR($B$18&lt;$K20,$B$17&gt;$L20),0,(MIN($B$18,$L20)-MAX($B$17,$K20)+1))</f>
        <v>0</v>
      </c>
      <c r="G20" s="186">
        <f>ROUND(IF(ISERROR(F20/365),0,(F20/365)*12),2)</f>
        <v>0</v>
      </c>
      <c r="H20" s="185">
        <f>IF(OR($B$18&lt;$K20,$B$17&gt;$L20),0,M20)</f>
        <v>0</v>
      </c>
      <c r="I20" s="184">
        <f>(F20*$E$17)*H20</f>
        <v>0</v>
      </c>
      <c r="J20" s="183">
        <f>IF(ISERROR(I20/H20),0,(I20/H20))</f>
        <v>0</v>
      </c>
      <c r="K20" s="216">
        <v>43647</v>
      </c>
      <c r="L20" s="215">
        <v>44012</v>
      </c>
      <c r="M20" s="214">
        <v>0.53</v>
      </c>
    </row>
    <row r="21" spans="1:13" x14ac:dyDescent="0.25">
      <c r="B21" s="182"/>
      <c r="C21" s="181"/>
      <c r="D21" s="180"/>
      <c r="E21" s="179"/>
      <c r="F21" s="178">
        <f>IF(OR($B$18&lt;$K21,$B$17&gt;$L21),0,(MIN($B$18,$L21)-MAX($B$17,$K21)+1))</f>
        <v>0</v>
      </c>
      <c r="G21" s="178">
        <f>ROUND(IF(ISERROR(F21/365),0,(F21/365)*12),2)</f>
        <v>0</v>
      </c>
      <c r="H21" s="177">
        <f>IF(OR($B$18&lt;$K21,$B$17&gt;$L21),0,M21)</f>
        <v>0</v>
      </c>
      <c r="I21" s="176">
        <f>(F21*$E$17)*H21</f>
        <v>0</v>
      </c>
      <c r="J21" s="175">
        <f>IF(ISERROR(I21/H21),0,(I21/H21))</f>
        <v>0</v>
      </c>
      <c r="K21" s="216">
        <v>44013</v>
      </c>
      <c r="L21" s="215">
        <v>47664</v>
      </c>
      <c r="M21" s="214">
        <v>0.53</v>
      </c>
    </row>
    <row r="22" spans="1:13" x14ac:dyDescent="0.25">
      <c r="B22" s="174" t="s">
        <v>177</v>
      </c>
      <c r="C22" s="173"/>
      <c r="D22" s="172">
        <f>SUM(D17:D21)</f>
        <v>0</v>
      </c>
      <c r="E22" s="171"/>
      <c r="F22" s="170">
        <f>SUM(F17:F21)</f>
        <v>365</v>
      </c>
      <c r="G22" s="169">
        <f>SUM(G17:G21)</f>
        <v>12</v>
      </c>
      <c r="H22" s="168">
        <f>AVERAGEIF(H17:H21,"&lt;&gt;0")</f>
        <v>0.52</v>
      </c>
      <c r="I22" s="167">
        <f>SUM(I17:I21)</f>
        <v>0</v>
      </c>
      <c r="J22" s="166">
        <f>SUM(J17:J21)</f>
        <v>0</v>
      </c>
      <c r="K22" s="213"/>
      <c r="L22" s="213"/>
      <c r="M22" s="213"/>
    </row>
    <row r="23" spans="1:13" x14ac:dyDescent="0.25">
      <c r="F23" s="212"/>
      <c r="G23" s="205"/>
    </row>
    <row r="24" spans="1:13" ht="14.25" customHeight="1" x14ac:dyDescent="0.25">
      <c r="F24" s="205"/>
      <c r="G24" s="205"/>
    </row>
    <row r="25" spans="1:13" ht="18" customHeight="1" thickBot="1" x14ac:dyDescent="0.3">
      <c r="A25" s="207" t="s">
        <v>196</v>
      </c>
      <c r="B25" s="203" t="s">
        <v>190</v>
      </c>
      <c r="C25" s="204" t="s">
        <v>188</v>
      </c>
      <c r="D25" s="206" t="s">
        <v>189</v>
      </c>
      <c r="E25" s="204" t="s">
        <v>188</v>
      </c>
      <c r="F25" s="205"/>
      <c r="G25" s="204" t="s">
        <v>188</v>
      </c>
      <c r="H25" s="190"/>
      <c r="I25" s="204" t="s">
        <v>188</v>
      </c>
      <c r="J25" s="204" t="s">
        <v>188</v>
      </c>
    </row>
    <row r="26" spans="1:13" ht="13.8" thickBot="1" x14ac:dyDescent="0.3">
      <c r="A26" s="190"/>
      <c r="B26" s="203" t="s">
        <v>187</v>
      </c>
      <c r="C26" s="211" t="s">
        <v>186</v>
      </c>
      <c r="D26" s="202" t="s">
        <v>185</v>
      </c>
      <c r="E26" s="201" t="s">
        <v>184</v>
      </c>
      <c r="F26" s="200" t="s">
        <v>183</v>
      </c>
      <c r="G26" s="200" t="s">
        <v>182</v>
      </c>
      <c r="H26" s="199" t="s">
        <v>176</v>
      </c>
      <c r="I26" s="199" t="s">
        <v>181</v>
      </c>
      <c r="J26" s="198" t="s">
        <v>180</v>
      </c>
    </row>
    <row r="27" spans="1:13" ht="13.8" thickBot="1" x14ac:dyDescent="0.3">
      <c r="A27" s="197" t="s">
        <v>179</v>
      </c>
      <c r="B27" s="191">
        <f>Summary!J11</f>
        <v>43282</v>
      </c>
      <c r="C27" s="196">
        <f>ROUND(IF((B27=0),0,(B28-B27))/30,0)</f>
        <v>12</v>
      </c>
      <c r="D27" s="195">
        <f>Summary!J100</f>
        <v>0</v>
      </c>
      <c r="E27" s="194">
        <f>IF(ISERROR(D27/F32),0,(D27/F32))</f>
        <v>0</v>
      </c>
      <c r="F27" s="186">
        <f>IF(OR($B$28&lt;$K17,$B$27&gt;$L17),0,(MIN($B$28,$L17)-MAX($B$27,$K17)+1))</f>
        <v>0</v>
      </c>
      <c r="G27" s="186">
        <f>ROUND(IF(ISERROR(F27/365),0,(F27/365))*12,0)</f>
        <v>0</v>
      </c>
      <c r="H27" s="185">
        <f>IF(OR($B$28&lt;$K17,$B$27&gt;$L17),0,M17)</f>
        <v>0</v>
      </c>
      <c r="I27" s="184">
        <f>(F27*$E$27)*H27</f>
        <v>0</v>
      </c>
      <c r="J27" s="183">
        <f>IF(ISERROR(I27/H27),0,(I27/H27))</f>
        <v>0</v>
      </c>
    </row>
    <row r="28" spans="1:13" ht="13.8" thickBot="1" x14ac:dyDescent="0.3">
      <c r="A28" s="192" t="s">
        <v>178</v>
      </c>
      <c r="B28" s="191">
        <f>Summary!K11</f>
        <v>43646</v>
      </c>
      <c r="D28" s="188"/>
      <c r="E28" s="187"/>
      <c r="F28" s="186">
        <f>IF(OR($B$28&lt;$K18,$B$27&gt;$L18),0,(MIN($B$28,$L18)-MAX($B$27,$K18)+1))</f>
        <v>0</v>
      </c>
      <c r="G28" s="186">
        <f>ROUND(IF(ISERROR(F28/365),0,(F28/365))*12,0)</f>
        <v>0</v>
      </c>
      <c r="H28" s="185">
        <f>IF(OR($B$28&lt;$K18,$B$27&gt;$L18),0,M18)</f>
        <v>0</v>
      </c>
      <c r="I28" s="184">
        <f>(F28*$E$27)*H28</f>
        <v>0</v>
      </c>
      <c r="J28" s="183">
        <f>IF(ISERROR(I28/H28),0,(I28/H28))</f>
        <v>0</v>
      </c>
    </row>
    <row r="29" spans="1:13" x14ac:dyDescent="0.25">
      <c r="C29" s="189"/>
      <c r="D29" s="188"/>
      <c r="E29" s="187"/>
      <c r="F29" s="186">
        <f>IF(OR($B$28&lt;$K19,$B$27&gt;$L19),0,(MIN($B$28,$L19)-MAX($B$27,$K19)+1))</f>
        <v>365</v>
      </c>
      <c r="G29" s="186">
        <f>ROUND(IF(ISERROR(F29/365),0,(F29/365))*12,0)</f>
        <v>12</v>
      </c>
      <c r="H29" s="185">
        <f>IF(OR($B$28&lt;$K19,$B$27&gt;$L19),0,M19)</f>
        <v>0.53</v>
      </c>
      <c r="I29" s="184">
        <f>(F29*$E$27)*H29</f>
        <v>0</v>
      </c>
      <c r="J29" s="183">
        <f>IF(ISERROR(I29/H29),0,(I29/H29))</f>
        <v>0</v>
      </c>
    </row>
    <row r="30" spans="1:13" x14ac:dyDescent="0.25">
      <c r="A30" s="190"/>
      <c r="C30" s="189"/>
      <c r="D30" s="188"/>
      <c r="E30" s="187"/>
      <c r="F30" s="186">
        <f>IF(OR($B$28&lt;$K20,$B$27&gt;$L20),0,(MIN($B$28,$L20)-MAX($B$27,$K20)+1))</f>
        <v>0</v>
      </c>
      <c r="G30" s="186">
        <f>ROUND(IF(ISERROR(F30/365),0,(F30/365))*12,0)</f>
        <v>0</v>
      </c>
      <c r="H30" s="185">
        <f>IF(OR($B$28&lt;$K20,$B$27&gt;$L20),0,M20)</f>
        <v>0</v>
      </c>
      <c r="I30" s="184">
        <f>(F30*$E$27)*H30</f>
        <v>0</v>
      </c>
      <c r="J30" s="183">
        <f>IF(ISERROR(I30/H30),0,(I30/H30))</f>
        <v>0</v>
      </c>
    </row>
    <row r="31" spans="1:13" x14ac:dyDescent="0.25">
      <c r="B31" s="182"/>
      <c r="C31" s="181"/>
      <c r="D31" s="180"/>
      <c r="E31" s="179"/>
      <c r="F31" s="178">
        <f>IF(OR($B$28&lt;$K21,$B$27&gt;$L21),0,(MIN($B$28,$L21)-MAX($B$27,$K21)+1))</f>
        <v>0</v>
      </c>
      <c r="G31" s="178">
        <f>ROUND(IF(ISERROR(F31/365),0,(F31/365))*12,0)</f>
        <v>0</v>
      </c>
      <c r="H31" s="177">
        <f>IF(OR($B$28&lt;$K21,$B$27&gt;$L21),0,M21)</f>
        <v>0</v>
      </c>
      <c r="I31" s="176">
        <f>(F31*$E$27)*H31</f>
        <v>0</v>
      </c>
      <c r="J31" s="175">
        <f>IF(ISERROR(I31/H31),0,(I31/H31))</f>
        <v>0</v>
      </c>
    </row>
    <row r="32" spans="1:13" x14ac:dyDescent="0.25">
      <c r="B32" s="174" t="s">
        <v>177</v>
      </c>
      <c r="C32" s="173"/>
      <c r="D32" s="172">
        <f>SUM(D27:D31)</f>
        <v>0</v>
      </c>
      <c r="E32" s="171"/>
      <c r="F32" s="170">
        <f>SUM(F27:F31)</f>
        <v>365</v>
      </c>
      <c r="G32" s="169">
        <f>SUM(G27:G31)</f>
        <v>12</v>
      </c>
      <c r="H32" s="168">
        <f>AVERAGEIF(H27:H31,"&lt;&gt;0")</f>
        <v>0.53</v>
      </c>
      <c r="I32" s="167">
        <f>SUM(I27:I31)</f>
        <v>0</v>
      </c>
      <c r="J32" s="166">
        <f>SUM(J27:J31)</f>
        <v>0</v>
      </c>
      <c r="K32" s="208"/>
    </row>
    <row r="33" spans="1:12" x14ac:dyDescent="0.25">
      <c r="F33" s="205"/>
      <c r="K33" s="208"/>
    </row>
    <row r="34" spans="1:12" x14ac:dyDescent="0.25">
      <c r="C34" s="210"/>
      <c r="F34" s="205"/>
      <c r="K34" s="208"/>
    </row>
    <row r="35" spans="1:12" ht="13.8" thickBot="1" x14ac:dyDescent="0.3">
      <c r="A35" s="207" t="s">
        <v>195</v>
      </c>
      <c r="B35" s="203" t="s">
        <v>190</v>
      </c>
      <c r="C35" s="204" t="s">
        <v>188</v>
      </c>
      <c r="D35" s="206" t="s">
        <v>189</v>
      </c>
      <c r="E35" s="204" t="s">
        <v>188</v>
      </c>
      <c r="F35" s="205"/>
      <c r="G35" s="204" t="s">
        <v>188</v>
      </c>
      <c r="H35" s="190"/>
      <c r="I35" s="204" t="s">
        <v>188</v>
      </c>
      <c r="J35" s="204" t="s">
        <v>188</v>
      </c>
    </row>
    <row r="36" spans="1:12" ht="13.8" thickBot="1" x14ac:dyDescent="0.3">
      <c r="A36" s="190"/>
      <c r="B36" s="203" t="s">
        <v>187</v>
      </c>
      <c r="C36" s="200" t="s">
        <v>186</v>
      </c>
      <c r="D36" s="202" t="s">
        <v>185</v>
      </c>
      <c r="E36" s="201" t="s">
        <v>184</v>
      </c>
      <c r="F36" s="200" t="s">
        <v>183</v>
      </c>
      <c r="G36" s="200" t="s">
        <v>182</v>
      </c>
      <c r="H36" s="199" t="s">
        <v>176</v>
      </c>
      <c r="I36" s="199" t="s">
        <v>181</v>
      </c>
      <c r="J36" s="198" t="s">
        <v>180</v>
      </c>
    </row>
    <row r="37" spans="1:12" ht="13.8" thickBot="1" x14ac:dyDescent="0.3">
      <c r="A37" s="197" t="s">
        <v>179</v>
      </c>
      <c r="B37" s="191">
        <f>Summary!L11</f>
        <v>43647</v>
      </c>
      <c r="C37" s="196">
        <f>ROUND(IF((B37=0),0,(B38-B37))/30,0)</f>
        <v>12</v>
      </c>
      <c r="D37" s="195">
        <f>Summary!L100</f>
        <v>0</v>
      </c>
      <c r="E37" s="194">
        <f>IF(ISERROR(D37/F42),0,(D37/F42))</f>
        <v>0</v>
      </c>
      <c r="F37" s="193">
        <f>IF(OR($B$38&lt;$K17,$B$37&gt;$L17),0,(MIN($B$38,$L17)-MAX($B$37,$K17)+1))</f>
        <v>0</v>
      </c>
      <c r="G37" s="186">
        <f>ROUND(IF(ISERROR(F37/365),0,(F37/365))*12,0)</f>
        <v>0</v>
      </c>
      <c r="H37" s="185">
        <f>IF(OR($B$38&lt;$K17,$B$37&gt;$L17),0,M17)</f>
        <v>0</v>
      </c>
      <c r="I37" s="184">
        <f>(F37*$E$37)*H37</f>
        <v>0</v>
      </c>
      <c r="J37" s="183">
        <f>IF(ISERROR(I37/H37),0,(I37/H37))</f>
        <v>0</v>
      </c>
    </row>
    <row r="38" spans="1:12" ht="13.8" thickBot="1" x14ac:dyDescent="0.3">
      <c r="A38" s="192" t="s">
        <v>178</v>
      </c>
      <c r="B38" s="191">
        <f>Summary!M11</f>
        <v>44012</v>
      </c>
      <c r="D38" s="188"/>
      <c r="E38" s="187"/>
      <c r="F38" s="186">
        <f>IF(OR($B$38&lt;$K18,$B$37&gt;$L18),0,(MIN($B$38,$L18)-MAX($B$37,$K18)+1))</f>
        <v>0</v>
      </c>
      <c r="G38" s="186">
        <f>ROUND(IF(ISERROR(F38/365),0,(F38/365))*12,0)</f>
        <v>0</v>
      </c>
      <c r="H38" s="185">
        <f>IF(OR($B$38&lt;$K18,$B$37&gt;$L18),0,M18)</f>
        <v>0</v>
      </c>
      <c r="I38" s="184">
        <f>(F38*$E$37)*H38</f>
        <v>0</v>
      </c>
      <c r="J38" s="183">
        <f>IF(ISERROR(I38/H38),0,(I38/H38))</f>
        <v>0</v>
      </c>
      <c r="K38" s="208"/>
      <c r="L38" s="208"/>
    </row>
    <row r="39" spans="1:12" x14ac:dyDescent="0.25">
      <c r="C39" s="189"/>
      <c r="D39" s="188"/>
      <c r="E39" s="187"/>
      <c r="F39" s="186">
        <f>IF(OR($B$38&lt;$K19,$B$37&gt;$L19),0,(MIN($B$38,$L19)-MAX($B$37,$K19)+1))</f>
        <v>0</v>
      </c>
      <c r="G39" s="186">
        <f>ROUND(IF(ISERROR(F39/365),0,(F39/365))*12,0)</f>
        <v>0</v>
      </c>
      <c r="H39" s="185">
        <f>IF(OR($B$38&lt;$K19,$B$37&gt;$L19),0,M19)</f>
        <v>0</v>
      </c>
      <c r="I39" s="184">
        <f>(F39*$E$37)*H39</f>
        <v>0</v>
      </c>
      <c r="J39" s="183">
        <f>IF(ISERROR(I39/H39),0,(I39/H39))</f>
        <v>0</v>
      </c>
      <c r="K39" s="208"/>
      <c r="L39" s="208"/>
    </row>
    <row r="40" spans="1:12" x14ac:dyDescent="0.25">
      <c r="A40" s="190"/>
      <c r="C40" s="189"/>
      <c r="D40" s="188"/>
      <c r="E40" s="187"/>
      <c r="F40" s="186">
        <f>IF(OR($B$38&lt;$K20,$B$37&gt;$L20),0,(MIN($B$38,$L20)-MAX($B$37,$K20)+1))</f>
        <v>366</v>
      </c>
      <c r="G40" s="186">
        <f>ROUND(IF(ISERROR(F40/365),0,(F40/365))*12,0)</f>
        <v>12</v>
      </c>
      <c r="H40" s="185">
        <f>IF(OR($B$38&lt;$K20,$B$37&gt;$L20),0,M20)</f>
        <v>0.53</v>
      </c>
      <c r="I40" s="184">
        <f>(F40*$E$37)*H40</f>
        <v>0</v>
      </c>
      <c r="J40" s="183">
        <f>IF(ISERROR(I40/H40),0,(I40/H40))</f>
        <v>0</v>
      </c>
      <c r="K40" s="208"/>
      <c r="L40" s="208"/>
    </row>
    <row r="41" spans="1:12" x14ac:dyDescent="0.25">
      <c r="B41" s="182"/>
      <c r="C41" s="181"/>
      <c r="D41" s="180"/>
      <c r="E41" s="179"/>
      <c r="F41" s="178">
        <f>IF(OR($B$38&lt;$K21,$B$37&gt;$L21),0,(MIN($B$38,$L21)-MAX($B$37,$K21)+1))</f>
        <v>0</v>
      </c>
      <c r="G41" s="178">
        <f>ROUND(IF(ISERROR(F41/365),0,(F41/365))*12,0)</f>
        <v>0</v>
      </c>
      <c r="H41" s="177">
        <f>IF(OR($B$38&lt;$K21,$B$37&gt;$L21),0,M21)</f>
        <v>0</v>
      </c>
      <c r="I41" s="176">
        <f>(F41*$E$37)*H41</f>
        <v>0</v>
      </c>
      <c r="J41" s="175">
        <f>IF(ISERROR(I41/H41),0,(I41/H41))</f>
        <v>0</v>
      </c>
    </row>
    <row r="42" spans="1:12" x14ac:dyDescent="0.25">
      <c r="B42" s="174" t="s">
        <v>177</v>
      </c>
      <c r="C42" s="173"/>
      <c r="D42" s="172">
        <f>SUM(D37:D41)</f>
        <v>0</v>
      </c>
      <c r="E42" s="171"/>
      <c r="F42" s="170">
        <f>SUM(F37:F41)</f>
        <v>366</v>
      </c>
      <c r="G42" s="169">
        <f>SUM(G37:G41)</f>
        <v>12</v>
      </c>
      <c r="H42" s="168">
        <f>AVERAGEIF(H37:H41,"&lt;&gt;0")</f>
        <v>0.53</v>
      </c>
      <c r="I42" s="167">
        <f>SUM(I37:I41)</f>
        <v>0</v>
      </c>
      <c r="J42" s="166">
        <f>SUM(J37:J41)</f>
        <v>0</v>
      </c>
      <c r="K42" s="208"/>
    </row>
    <row r="43" spans="1:12" x14ac:dyDescent="0.25">
      <c r="F43" s="205"/>
      <c r="K43" s="208"/>
    </row>
    <row r="44" spans="1:12" x14ac:dyDescent="0.25">
      <c r="F44" s="205"/>
    </row>
    <row r="45" spans="1:12" ht="13.8" thickBot="1" x14ac:dyDescent="0.3">
      <c r="A45" s="207" t="s">
        <v>194</v>
      </c>
      <c r="B45" s="203" t="s">
        <v>190</v>
      </c>
      <c r="C45" s="204" t="s">
        <v>188</v>
      </c>
      <c r="D45" s="206" t="s">
        <v>189</v>
      </c>
      <c r="E45" s="204" t="s">
        <v>188</v>
      </c>
      <c r="F45" s="205"/>
      <c r="G45" s="204" t="s">
        <v>188</v>
      </c>
      <c r="H45" s="190"/>
      <c r="I45" s="204" t="s">
        <v>188</v>
      </c>
      <c r="J45" s="204" t="s">
        <v>188</v>
      </c>
      <c r="K45" s="208"/>
    </row>
    <row r="46" spans="1:12" ht="13.8" thickBot="1" x14ac:dyDescent="0.3">
      <c r="A46" s="190"/>
      <c r="B46" s="203" t="s">
        <v>187</v>
      </c>
      <c r="C46" s="200" t="s">
        <v>186</v>
      </c>
      <c r="D46" s="202" t="s">
        <v>185</v>
      </c>
      <c r="E46" s="201" t="s">
        <v>184</v>
      </c>
      <c r="F46" s="200" t="s">
        <v>183</v>
      </c>
      <c r="G46" s="200" t="s">
        <v>182</v>
      </c>
      <c r="H46" s="199" t="s">
        <v>176</v>
      </c>
      <c r="I46" s="199" t="s">
        <v>181</v>
      </c>
      <c r="J46" s="198" t="s">
        <v>180</v>
      </c>
    </row>
    <row r="47" spans="1:12" ht="13.8" thickBot="1" x14ac:dyDescent="0.3">
      <c r="A47" s="197" t="s">
        <v>179</v>
      </c>
      <c r="B47" s="191">
        <f>Summary!N11</f>
        <v>44013</v>
      </c>
      <c r="C47" s="196">
        <f>ROUND(IF((B47=0),0,(B48-B47))/30,0)</f>
        <v>12</v>
      </c>
      <c r="D47" s="195">
        <f>Summary!N100</f>
        <v>0</v>
      </c>
      <c r="E47" s="194">
        <f>IF(ISERROR(D47/F52),0,(D47/F52))</f>
        <v>0</v>
      </c>
      <c r="F47" s="193">
        <f>IF(OR($B$48&lt;$K17,$B$47&gt;$L17),0,(MIN($B$48,$L17)-MAX($B$47,$K17)+1))</f>
        <v>0</v>
      </c>
      <c r="G47" s="186">
        <f>ROUND(IF(ISERROR(F47/365),0,(F47/365))*12,0)</f>
        <v>0</v>
      </c>
      <c r="H47" s="185">
        <f>IF(OR($B$48&lt;$K17,$B$47&gt;$L17),0,M17)</f>
        <v>0</v>
      </c>
      <c r="I47" s="184">
        <f>(F47*$E$47)*H47</f>
        <v>0</v>
      </c>
      <c r="J47" s="183">
        <f>IF(ISERROR(I47/H47),0,(I47/H47))</f>
        <v>0</v>
      </c>
    </row>
    <row r="48" spans="1:12" ht="13.8" thickBot="1" x14ac:dyDescent="0.3">
      <c r="A48" s="192" t="s">
        <v>178</v>
      </c>
      <c r="B48" s="191">
        <f>Summary!O11</f>
        <v>44377</v>
      </c>
      <c r="D48" s="188"/>
      <c r="E48" s="187"/>
      <c r="F48" s="186">
        <f>IF(OR($B$48&lt;$K18,$B$47&gt;$L18),0,(MIN($B$48,$L18)-MAX($B$47,$K18)+1))</f>
        <v>0</v>
      </c>
      <c r="G48" s="186">
        <f>ROUND(IF(ISERROR(F48/365),0,(F48/365))*12,0)</f>
        <v>0</v>
      </c>
      <c r="H48" s="185">
        <f>IF(OR($B$48&lt;$K18,$B$47&gt;$L18),0,M18)</f>
        <v>0</v>
      </c>
      <c r="I48" s="184">
        <f>(F48*$E$47)*H48</f>
        <v>0</v>
      </c>
      <c r="J48" s="183">
        <f>IF(ISERROR(I48/H48),0,(I48/H48))</f>
        <v>0</v>
      </c>
      <c r="K48" s="209"/>
    </row>
    <row r="49" spans="1:11" x14ac:dyDescent="0.25">
      <c r="C49" s="189"/>
      <c r="D49" s="188"/>
      <c r="E49" s="187"/>
      <c r="F49" s="186">
        <f>IF(OR($B$48&lt;$K19,$B$47&gt;$L19),0,(MIN($B$48,$L19)-MAX($B$47,$K19)+1))</f>
        <v>0</v>
      </c>
      <c r="G49" s="186">
        <f>ROUND(IF(ISERROR(F49/365),0,(F49/365))*12,0)</f>
        <v>0</v>
      </c>
      <c r="H49" s="185">
        <f>IF(OR($B$48&lt;$K19,$B$47&gt;$L19),0,M19)</f>
        <v>0</v>
      </c>
      <c r="I49" s="184">
        <f>(F49*$E$47)*H49</f>
        <v>0</v>
      </c>
      <c r="J49" s="183">
        <f>IF(ISERROR(I49/H49),0,(I49/H49))</f>
        <v>0</v>
      </c>
    </row>
    <row r="50" spans="1:11" x14ac:dyDescent="0.25">
      <c r="A50" s="190"/>
      <c r="C50" s="189"/>
      <c r="D50" s="188"/>
      <c r="E50" s="187"/>
      <c r="F50" s="186">
        <f>IF(OR($B$48&lt;$K20,$B$47&gt;$L20),0,(MIN($B$48,$L20)-MAX($B$47,$K20)+1))</f>
        <v>0</v>
      </c>
      <c r="G50" s="186">
        <f>ROUND(IF(ISERROR(F50/365),0,(F50/365))*12,0)</f>
        <v>0</v>
      </c>
      <c r="H50" s="185">
        <f>IF(OR($B$48&lt;$K20,$B$47&gt;$L20),0,M20)</f>
        <v>0</v>
      </c>
      <c r="I50" s="184">
        <f>(F50*$E$47)*H50</f>
        <v>0</v>
      </c>
      <c r="J50" s="183">
        <f>IF(ISERROR(I50/H50),0,(I50/H50))</f>
        <v>0</v>
      </c>
      <c r="K50" s="209"/>
    </row>
    <row r="51" spans="1:11" x14ac:dyDescent="0.25">
      <c r="B51" s="182"/>
      <c r="C51" s="181"/>
      <c r="D51" s="180"/>
      <c r="E51" s="179"/>
      <c r="F51" s="178">
        <f>IF(OR($B$48&lt;$K21,$B$47&gt;$L21),0,(MIN($B$48,$L21)-MAX($B$47,$K21)+1))</f>
        <v>365</v>
      </c>
      <c r="G51" s="178">
        <f>ROUND(IF(ISERROR(F51/365),0,(F51/365))*12,0)</f>
        <v>12</v>
      </c>
      <c r="H51" s="177">
        <f>IF(OR($B$48&lt;$K21,$B$47&gt;$L21),0,M21)</f>
        <v>0.53</v>
      </c>
      <c r="I51" s="176">
        <f>(F51*$E$47)*H51</f>
        <v>0</v>
      </c>
      <c r="J51" s="175">
        <f>IF(ISERROR(I51/H51),0,(I51/H51))</f>
        <v>0</v>
      </c>
    </row>
    <row r="52" spans="1:11" x14ac:dyDescent="0.25">
      <c r="B52" s="174" t="s">
        <v>177</v>
      </c>
      <c r="C52" s="173"/>
      <c r="D52" s="172">
        <f>SUM(D47:D51)</f>
        <v>0</v>
      </c>
      <c r="E52" s="171"/>
      <c r="F52" s="170">
        <f>SUM(F47:F51)</f>
        <v>365</v>
      </c>
      <c r="G52" s="169">
        <f>SUM(G47:G51)</f>
        <v>12</v>
      </c>
      <c r="H52" s="168">
        <f>AVERAGEIF(H47:H51,"&lt;&gt;0")</f>
        <v>0.53</v>
      </c>
      <c r="I52" s="167">
        <f>SUM(I47:I51)</f>
        <v>0</v>
      </c>
      <c r="J52" s="166">
        <f>SUM(J47:J51)</f>
        <v>0</v>
      </c>
    </row>
    <row r="53" spans="1:11" x14ac:dyDescent="0.25">
      <c r="F53" s="205"/>
    </row>
    <row r="54" spans="1:11" x14ac:dyDescent="0.25">
      <c r="F54" s="205"/>
    </row>
    <row r="55" spans="1:11" ht="13.8" thickBot="1" x14ac:dyDescent="0.3">
      <c r="A55" s="207" t="s">
        <v>193</v>
      </c>
      <c r="B55" s="203" t="s">
        <v>190</v>
      </c>
      <c r="C55" s="204" t="s">
        <v>188</v>
      </c>
      <c r="D55" s="206" t="s">
        <v>189</v>
      </c>
      <c r="E55" s="204" t="s">
        <v>188</v>
      </c>
      <c r="F55" s="205"/>
      <c r="G55" s="204" t="s">
        <v>188</v>
      </c>
      <c r="H55" s="190"/>
      <c r="I55" s="204" t="s">
        <v>188</v>
      </c>
      <c r="J55" s="204" t="s">
        <v>188</v>
      </c>
    </row>
    <row r="56" spans="1:11" ht="13.8" thickBot="1" x14ac:dyDescent="0.3">
      <c r="A56" s="190"/>
      <c r="B56" s="203" t="s">
        <v>187</v>
      </c>
      <c r="C56" s="200" t="s">
        <v>186</v>
      </c>
      <c r="D56" s="202" t="s">
        <v>185</v>
      </c>
      <c r="E56" s="201" t="s">
        <v>184</v>
      </c>
      <c r="F56" s="200" t="s">
        <v>183</v>
      </c>
      <c r="G56" s="200" t="s">
        <v>182</v>
      </c>
      <c r="H56" s="199" t="s">
        <v>176</v>
      </c>
      <c r="I56" s="199" t="s">
        <v>181</v>
      </c>
      <c r="J56" s="198" t="s">
        <v>180</v>
      </c>
      <c r="K56" s="208"/>
    </row>
    <row r="57" spans="1:11" ht="13.8" thickBot="1" x14ac:dyDescent="0.3">
      <c r="A57" s="197" t="s">
        <v>179</v>
      </c>
      <c r="B57" s="191">
        <f>Summary!P11</f>
        <v>44378</v>
      </c>
      <c r="C57" s="196">
        <f>ROUND(IF((B57=0),0,(B58-B57))/30,0)</f>
        <v>12</v>
      </c>
      <c r="D57" s="195">
        <f>Summary!P100</f>
        <v>0</v>
      </c>
      <c r="E57" s="194">
        <f>IF(ISERROR(D57/F62),0,(D57/F62))</f>
        <v>0</v>
      </c>
      <c r="F57" s="193">
        <f>IF(OR($B$58&lt;$K17,$B$57&gt;$L17),0,(MIN($B$58,$L17)-MAX($B$57,$K17)+1))</f>
        <v>0</v>
      </c>
      <c r="G57" s="186">
        <f>ROUND(IF(ISERROR(F57/365),0,(F57/365))*12,0)</f>
        <v>0</v>
      </c>
      <c r="H57" s="185">
        <f>IF(OR($B$58&lt;$K17,$B$57&gt;$L17),0,M17)</f>
        <v>0</v>
      </c>
      <c r="I57" s="184">
        <f>(F57*$E$57)*H57</f>
        <v>0</v>
      </c>
      <c r="J57" s="183">
        <f>IF(ISERROR(I57/H57),0,(I57/H57))</f>
        <v>0</v>
      </c>
    </row>
    <row r="58" spans="1:11" ht="13.8" thickBot="1" x14ac:dyDescent="0.3">
      <c r="A58" s="192" t="s">
        <v>178</v>
      </c>
      <c r="B58" s="191">
        <f>Summary!Q11</f>
        <v>44742</v>
      </c>
      <c r="D58" s="188"/>
      <c r="E58" s="187"/>
      <c r="F58" s="186">
        <f>IF(OR($B$58&lt;$K18,$B$57&gt;$L18),0,(MIN($B$58,$L18)-MAX($B$57,$K18)+1))</f>
        <v>0</v>
      </c>
      <c r="G58" s="186">
        <f>ROUND(IF(ISERROR(F58/365),0,(F58/365))*12,0)</f>
        <v>0</v>
      </c>
      <c r="H58" s="185">
        <f>IF(OR($B$58&lt;$K18,$B$57&gt;$L18),0,M18)</f>
        <v>0</v>
      </c>
      <c r="I58" s="184">
        <f>(F58*$E$57)*H58</f>
        <v>0</v>
      </c>
      <c r="J58" s="183">
        <f>IF(ISERROR(I58/H58),0,(I58/H58))</f>
        <v>0</v>
      </c>
    </row>
    <row r="59" spans="1:11" x14ac:dyDescent="0.25">
      <c r="C59" s="189"/>
      <c r="D59" s="188"/>
      <c r="E59" s="187"/>
      <c r="F59" s="186">
        <f>IF(OR($B$58&lt;$K19,$B$57&gt;$L19),0,(MIN($B$58,$L19)-MAX($B$57,$K19)+1))</f>
        <v>0</v>
      </c>
      <c r="G59" s="186">
        <f>ROUND(IF(ISERROR(F59/365),0,(F59/365))*12,0)</f>
        <v>0</v>
      </c>
      <c r="H59" s="185">
        <f>IF(OR($B$58&lt;$K19,$B$57&gt;$L19),0,M19)</f>
        <v>0</v>
      </c>
      <c r="I59" s="184">
        <f>(F59*$E$57)*H59</f>
        <v>0</v>
      </c>
      <c r="J59" s="183">
        <f>IF(ISERROR(I59/H59),0,(I59/H59))</f>
        <v>0</v>
      </c>
    </row>
    <row r="60" spans="1:11" x14ac:dyDescent="0.25">
      <c r="A60" s="190"/>
      <c r="C60" s="189"/>
      <c r="D60" s="188"/>
      <c r="E60" s="187"/>
      <c r="F60" s="186">
        <f>IF(OR($B$58&lt;$K20,$B$57&gt;$L20),0,(MIN($B$58,$L20)-MAX($B$57,$K20)+1))</f>
        <v>0</v>
      </c>
      <c r="G60" s="186">
        <f>ROUND(IF(ISERROR(F60/365),0,(F60/365))*12,0)</f>
        <v>0</v>
      </c>
      <c r="H60" s="185">
        <f>IF(OR($B$58&lt;$K20,$B$57&gt;$L20),0,M20)</f>
        <v>0</v>
      </c>
      <c r="I60" s="184">
        <f>(F60*$E$57)*H60</f>
        <v>0</v>
      </c>
      <c r="J60" s="183">
        <f>IF(ISERROR(I60/H60),0,(I60/H60))</f>
        <v>0</v>
      </c>
    </row>
    <row r="61" spans="1:11" x14ac:dyDescent="0.25">
      <c r="B61" s="182"/>
      <c r="C61" s="181"/>
      <c r="D61" s="180"/>
      <c r="E61" s="179"/>
      <c r="F61" s="178">
        <f>IF(OR($B$58&lt;$K21,$B$57&gt;$L21),0,(MIN($B$58,$L21)-MAX($B$57,$K21)+1))</f>
        <v>365</v>
      </c>
      <c r="G61" s="178">
        <f>ROUND(IF(ISERROR(F61/365),0,(F61/365))*12,0)</f>
        <v>12</v>
      </c>
      <c r="H61" s="177">
        <f>IF(OR($B$58&lt;$K21,$B$57&gt;$L21),0,M21)</f>
        <v>0.53</v>
      </c>
      <c r="I61" s="176">
        <f>(F61*$E$57)*H61</f>
        <v>0</v>
      </c>
      <c r="J61" s="175">
        <f>IF(ISERROR(I61/H61),0,(I61/H61))</f>
        <v>0</v>
      </c>
    </row>
    <row r="62" spans="1:11" x14ac:dyDescent="0.25">
      <c r="B62" s="174" t="s">
        <v>177</v>
      </c>
      <c r="C62" s="173"/>
      <c r="D62" s="172">
        <f>SUM(D57:D61)</f>
        <v>0</v>
      </c>
      <c r="E62" s="171"/>
      <c r="F62" s="170">
        <f>SUM(F57:F61)</f>
        <v>365</v>
      </c>
      <c r="G62" s="169">
        <f>SUM(G57:G61)</f>
        <v>12</v>
      </c>
      <c r="H62" s="168">
        <f>AVERAGEIF(H57:H61,"&lt;&gt;0")</f>
        <v>0.53</v>
      </c>
      <c r="I62" s="167">
        <f>SUM(I57:I61)</f>
        <v>0</v>
      </c>
      <c r="J62" s="166">
        <f>SUM(J57:J61)</f>
        <v>0</v>
      </c>
    </row>
    <row r="63" spans="1:11" x14ac:dyDescent="0.25">
      <c r="F63" s="205"/>
    </row>
    <row r="64" spans="1:11" x14ac:dyDescent="0.25">
      <c r="F64" s="205"/>
    </row>
    <row r="65" spans="1:10" ht="13.8" thickBot="1" x14ac:dyDescent="0.3">
      <c r="A65" s="207" t="s">
        <v>192</v>
      </c>
      <c r="B65" s="203" t="s">
        <v>190</v>
      </c>
      <c r="C65" s="204" t="s">
        <v>188</v>
      </c>
      <c r="D65" s="206" t="s">
        <v>189</v>
      </c>
      <c r="E65" s="204" t="s">
        <v>188</v>
      </c>
      <c r="F65" s="205"/>
      <c r="G65" s="204" t="s">
        <v>188</v>
      </c>
      <c r="H65" s="190"/>
      <c r="I65" s="204" t="s">
        <v>188</v>
      </c>
      <c r="J65" s="204" t="s">
        <v>188</v>
      </c>
    </row>
    <row r="66" spans="1:10" ht="13.8" thickBot="1" x14ac:dyDescent="0.3">
      <c r="A66" s="190"/>
      <c r="B66" s="203" t="s">
        <v>187</v>
      </c>
      <c r="C66" s="200" t="s">
        <v>186</v>
      </c>
      <c r="D66" s="202" t="s">
        <v>185</v>
      </c>
      <c r="E66" s="201" t="s">
        <v>184</v>
      </c>
      <c r="F66" s="200" t="s">
        <v>183</v>
      </c>
      <c r="G66" s="200" t="s">
        <v>182</v>
      </c>
      <c r="H66" s="199" t="s">
        <v>176</v>
      </c>
      <c r="I66" s="199" t="s">
        <v>181</v>
      </c>
      <c r="J66" s="198" t="s">
        <v>180</v>
      </c>
    </row>
    <row r="67" spans="1:10" ht="13.8" thickBot="1" x14ac:dyDescent="0.3">
      <c r="A67" s="197" t="s">
        <v>179</v>
      </c>
      <c r="B67" s="191"/>
      <c r="C67" s="196">
        <f>ROUND(IF((B67=0),0,(B68-B67))/30,0)</f>
        <v>0</v>
      </c>
      <c r="D67" s="195">
        <v>0</v>
      </c>
      <c r="E67" s="194">
        <f>IF(ISERROR(D67/F72),0,(D67/F72))</f>
        <v>0</v>
      </c>
      <c r="F67" s="193">
        <f>IF(OR($B$68&lt;$K17,$B$67&gt;$L17),0,(MIN($B$68,$L17)-MAX($B$67,$K17)+1))</f>
        <v>0</v>
      </c>
      <c r="G67" s="186">
        <f>ROUND(IF(ISERROR(F67/365),0,(F67/365))*12,0)</f>
        <v>0</v>
      </c>
      <c r="H67" s="185">
        <f>IF(OR($B$68&lt;$K17,$B$67&gt;$L17),0,M17)</f>
        <v>0</v>
      </c>
      <c r="I67" s="184">
        <f>(F67*$E$67)*H67</f>
        <v>0</v>
      </c>
      <c r="J67" s="183">
        <f>IF(ISERROR(I67/H67),0,(I67/H67))</f>
        <v>0</v>
      </c>
    </row>
    <row r="68" spans="1:10" ht="13.8" thickBot="1" x14ac:dyDescent="0.3">
      <c r="A68" s="192" t="s">
        <v>178</v>
      </c>
      <c r="B68" s="191"/>
      <c r="D68" s="188"/>
      <c r="E68" s="187"/>
      <c r="F68" s="186">
        <f>IF(OR($B$68&lt;$K18,$B$67&gt;$L18),0,(MIN($B$68,$L18)-MAX($B$67,$K18)+1))</f>
        <v>0</v>
      </c>
      <c r="G68" s="186">
        <f>ROUND(IF(ISERROR(F68/365),0,(F68/365))*12,0)</f>
        <v>0</v>
      </c>
      <c r="H68" s="185">
        <f>IF(OR($B$68&lt;$K18,$B$67&gt;$L18),0,M18)</f>
        <v>0</v>
      </c>
      <c r="I68" s="184">
        <f>(F68*$E$67)*H68</f>
        <v>0</v>
      </c>
      <c r="J68" s="183">
        <f>IF(ISERROR(I68/H68),0,(I68/H68))</f>
        <v>0</v>
      </c>
    </row>
    <row r="69" spans="1:10" x14ac:dyDescent="0.25">
      <c r="C69" s="189"/>
      <c r="D69" s="188"/>
      <c r="E69" s="187"/>
      <c r="F69" s="186">
        <f>IF(OR($B$68&lt;$K19,$B$67&gt;$L19),0,(MIN($B$68,$L19)-MAX($B$67,$K19)+1))</f>
        <v>0</v>
      </c>
      <c r="G69" s="186">
        <f>ROUND(IF(ISERROR(F69/365),0,(F69/365))*12,0)</f>
        <v>0</v>
      </c>
      <c r="H69" s="185">
        <f>IF(OR($B$68&lt;$K19,$B$67&gt;$L19),0,M19)</f>
        <v>0</v>
      </c>
      <c r="I69" s="184">
        <f>(F69*$E$67)*H69</f>
        <v>0</v>
      </c>
      <c r="J69" s="183">
        <f>IF(ISERROR(I69/H69),0,(I69/H69))</f>
        <v>0</v>
      </c>
    </row>
    <row r="70" spans="1:10" x14ac:dyDescent="0.25">
      <c r="A70" s="190"/>
      <c r="C70" s="189"/>
      <c r="D70" s="188"/>
      <c r="E70" s="187"/>
      <c r="F70" s="186">
        <f>IF(OR($B$68&lt;$K20,$B$67&gt;$L20),0,(MIN($B$68,$L20)-MAX($B$67,$K20)+1))</f>
        <v>0</v>
      </c>
      <c r="G70" s="186">
        <f>ROUND(IF(ISERROR(F70/365),0,(F70/365))*12,0)</f>
        <v>0</v>
      </c>
      <c r="H70" s="185">
        <f>IF(OR($B$68&lt;$K20,$B$67&gt;$L20),0,M20)</f>
        <v>0</v>
      </c>
      <c r="I70" s="184">
        <f>(F70*$E$67)*H70</f>
        <v>0</v>
      </c>
      <c r="J70" s="183">
        <f>IF(ISERROR(I70/H70),0,(I70/H70))</f>
        <v>0</v>
      </c>
    </row>
    <row r="71" spans="1:10" x14ac:dyDescent="0.25">
      <c r="B71" s="182"/>
      <c r="C71" s="181"/>
      <c r="D71" s="180"/>
      <c r="E71" s="179"/>
      <c r="F71" s="178">
        <f>IF(OR($B$68&lt;$K21,$B$67&gt;$L21),0,(MIN($B$68,$L21)-MAX($B$67,$K21)+1))</f>
        <v>0</v>
      </c>
      <c r="G71" s="178">
        <f>ROUND(IF(ISERROR(F71/365),0,(F71/365))*12,0)</f>
        <v>0</v>
      </c>
      <c r="H71" s="177">
        <f>IF(OR($B$68&lt;$K21,$B$67&gt;$L21),0,M21)</f>
        <v>0</v>
      </c>
      <c r="I71" s="176">
        <f>(F71*$E$67)*H71</f>
        <v>0</v>
      </c>
      <c r="J71" s="175">
        <f>IF(ISERROR(I71/H71),0,(I71/H71))</f>
        <v>0</v>
      </c>
    </row>
    <row r="72" spans="1:10" x14ac:dyDescent="0.25">
      <c r="B72" s="174" t="s">
        <v>177</v>
      </c>
      <c r="C72" s="173"/>
      <c r="D72" s="172">
        <f>SUM(D67:D71)</f>
        <v>0</v>
      </c>
      <c r="E72" s="171"/>
      <c r="F72" s="170">
        <f>SUM(F67:F71)</f>
        <v>0</v>
      </c>
      <c r="G72" s="169">
        <f>SUM(G67:G71)</f>
        <v>0</v>
      </c>
      <c r="H72" s="168" t="e">
        <f>AVERAGEIF(H67:H71,"&lt;&gt;0")</f>
        <v>#DIV/0!</v>
      </c>
      <c r="I72" s="167">
        <f>SUM(I67:I71)</f>
        <v>0</v>
      </c>
      <c r="J72" s="166">
        <f>SUM(J67:J71)</f>
        <v>0</v>
      </c>
    </row>
    <row r="73" spans="1:10" x14ac:dyDescent="0.25">
      <c r="F73" s="205"/>
    </row>
    <row r="74" spans="1:10" x14ac:dyDescent="0.25">
      <c r="F74" s="205"/>
    </row>
    <row r="75" spans="1:10" ht="13.8" thickBot="1" x14ac:dyDescent="0.3">
      <c r="A75" s="207" t="s">
        <v>191</v>
      </c>
      <c r="B75" s="203" t="s">
        <v>190</v>
      </c>
      <c r="C75" s="204" t="s">
        <v>188</v>
      </c>
      <c r="D75" s="206" t="s">
        <v>189</v>
      </c>
      <c r="E75" s="204" t="s">
        <v>188</v>
      </c>
      <c r="F75" s="205"/>
      <c r="G75" s="204" t="s">
        <v>188</v>
      </c>
      <c r="H75" s="190"/>
      <c r="I75" s="204" t="s">
        <v>188</v>
      </c>
      <c r="J75" s="204" t="s">
        <v>188</v>
      </c>
    </row>
    <row r="76" spans="1:10" ht="13.8" thickBot="1" x14ac:dyDescent="0.3">
      <c r="A76" s="190"/>
      <c r="B76" s="203" t="s">
        <v>187</v>
      </c>
      <c r="C76" s="200" t="s">
        <v>186</v>
      </c>
      <c r="D76" s="202" t="s">
        <v>185</v>
      </c>
      <c r="E76" s="201" t="s">
        <v>184</v>
      </c>
      <c r="F76" s="200" t="s">
        <v>183</v>
      </c>
      <c r="G76" s="200" t="s">
        <v>182</v>
      </c>
      <c r="H76" s="199" t="s">
        <v>176</v>
      </c>
      <c r="I76" s="199" t="s">
        <v>181</v>
      </c>
      <c r="J76" s="198" t="s">
        <v>180</v>
      </c>
    </row>
    <row r="77" spans="1:10" ht="13.8" thickBot="1" x14ac:dyDescent="0.3">
      <c r="A77" s="197" t="s">
        <v>179</v>
      </c>
      <c r="B77" s="191"/>
      <c r="C77" s="196">
        <f>ROUND(IF((B77=0),0,(B78-B77))/30,0)</f>
        <v>0</v>
      </c>
      <c r="D77" s="195">
        <v>0</v>
      </c>
      <c r="E77" s="194">
        <f>IF(ISERROR(D77/F82),0,(D77/F82))</f>
        <v>0</v>
      </c>
      <c r="F77" s="193">
        <f>IF(OR($B$78&lt;$K17,$B$77&gt;$L17),0,(MIN($B$78,$L17)-MAX($B$77,$K17)+1))</f>
        <v>0</v>
      </c>
      <c r="G77" s="186">
        <f>ROUND(IF(ISERROR(F77/365),0,(F77/365))*12,0)</f>
        <v>0</v>
      </c>
      <c r="H77" s="185">
        <f>IF(OR($B$78&lt;$K17,$B$77&gt;$L17),0,M17)</f>
        <v>0</v>
      </c>
      <c r="I77" s="184">
        <f>(F77*$E$77)*H77</f>
        <v>0</v>
      </c>
      <c r="J77" s="183">
        <f>IF(ISERROR(I77/H77),0,(I77/H77))</f>
        <v>0</v>
      </c>
    </row>
    <row r="78" spans="1:10" ht="13.8" thickBot="1" x14ac:dyDescent="0.3">
      <c r="A78" s="192" t="s">
        <v>178</v>
      </c>
      <c r="B78" s="191"/>
      <c r="D78" s="188"/>
      <c r="E78" s="187"/>
      <c r="F78" s="186">
        <f>IF(OR($B$78&lt;$K18,$B$77&gt;$L18),0,(MIN($B$78,$L18)-MAX($B$77,$K18)+1))</f>
        <v>0</v>
      </c>
      <c r="G78" s="186">
        <f>ROUND(IF(ISERROR(F78/365),0,(F78/365))*12,0)</f>
        <v>0</v>
      </c>
      <c r="H78" s="185">
        <f>IF(OR($B$78&lt;$K18,$B$77&gt;$L18),0,M18)</f>
        <v>0</v>
      </c>
      <c r="I78" s="184">
        <f>(F78*$E$77)*H78</f>
        <v>0</v>
      </c>
      <c r="J78" s="183">
        <f>IF(ISERROR(I78/H78),0,(I78/H78))</f>
        <v>0</v>
      </c>
    </row>
    <row r="79" spans="1:10" x14ac:dyDescent="0.25">
      <c r="C79" s="189"/>
      <c r="D79" s="188"/>
      <c r="E79" s="187"/>
      <c r="F79" s="186">
        <f>IF(OR($B$78&lt;$K19,$B$77&gt;$L19),0,(MIN($B$78,$L19)-MAX($B$77,$K19)+1))</f>
        <v>0</v>
      </c>
      <c r="G79" s="186">
        <f>ROUND(IF(ISERROR(F79/365),0,(F79/365))*12,0)</f>
        <v>0</v>
      </c>
      <c r="H79" s="185">
        <f>IF(OR($B$78&lt;$K19,$B$77&gt;$L19),0,M19)</f>
        <v>0</v>
      </c>
      <c r="I79" s="184">
        <f>(F79*$E$77)*H79</f>
        <v>0</v>
      </c>
      <c r="J79" s="183">
        <f>IF(ISERROR(I79/H79),0,(I79/H79))</f>
        <v>0</v>
      </c>
    </row>
    <row r="80" spans="1:10" x14ac:dyDescent="0.25">
      <c r="A80" s="190"/>
      <c r="C80" s="189"/>
      <c r="D80" s="188"/>
      <c r="E80" s="187"/>
      <c r="F80" s="186">
        <f>IF(OR($B$78&lt;$K20,$B$77&gt;$L20),0,(MIN($B$78,$L20)-MAX($B$77,$K20)+1))</f>
        <v>0</v>
      </c>
      <c r="G80" s="186">
        <f>ROUND(IF(ISERROR(F80/365),0,(F80/365))*12,0)</f>
        <v>0</v>
      </c>
      <c r="H80" s="185">
        <f>IF(OR($B$78&lt;$K20,$B$77&gt;$L20),0,M20)</f>
        <v>0</v>
      </c>
      <c r="I80" s="184">
        <f>(F80*$E$77)*H80</f>
        <v>0</v>
      </c>
      <c r="J80" s="183">
        <f>IF(ISERROR(I80/H80),0,(I80/H80))</f>
        <v>0</v>
      </c>
    </row>
    <row r="81" spans="2:10" x14ac:dyDescent="0.25">
      <c r="B81" s="182"/>
      <c r="C81" s="181"/>
      <c r="D81" s="180"/>
      <c r="E81" s="179"/>
      <c r="F81" s="178">
        <f>IF(OR($B$78&lt;$K21,$B$77&gt;$L21),0,(MIN($B$78,$L21)-MAX($B$77,$K21)+1))</f>
        <v>0</v>
      </c>
      <c r="G81" s="178">
        <f>ROUND(IF(ISERROR(F81/365),0,(F81/365))*12,0)</f>
        <v>0</v>
      </c>
      <c r="H81" s="177">
        <f>IF(OR($B$78&lt;$K21,$B$77&gt;$L21),0,M21)</f>
        <v>0</v>
      </c>
      <c r="I81" s="176">
        <f>(F81*$E$77)*H81</f>
        <v>0</v>
      </c>
      <c r="J81" s="175">
        <f>IF(ISERROR(I81/H81),0,(I81/H81))</f>
        <v>0</v>
      </c>
    </row>
    <row r="82" spans="2:10" x14ac:dyDescent="0.25">
      <c r="B82" s="174" t="s">
        <v>177</v>
      </c>
      <c r="C82" s="173"/>
      <c r="D82" s="172">
        <f>SUM(D77:D81)</f>
        <v>0</v>
      </c>
      <c r="E82" s="171"/>
      <c r="F82" s="170">
        <f>SUM(F77:F81)</f>
        <v>0</v>
      </c>
      <c r="G82" s="169">
        <f>SUM(G77:G81)</f>
        <v>0</v>
      </c>
      <c r="H82" s="168" t="e">
        <f>AVERAGEIF(H77:H81,"&lt;&gt;0")</f>
        <v>#DIV/0!</v>
      </c>
      <c r="I82" s="167">
        <f>SUM(I77:I81)</f>
        <v>0</v>
      </c>
      <c r="J82" s="166">
        <f>SUM(J77:J81)</f>
        <v>0</v>
      </c>
    </row>
  </sheetData>
  <sheetProtection selectLockedCells="1"/>
  <dataValidations count="10">
    <dataValidation type="date" allowBlank="1" showInputMessage="1" showErrorMessage="1" errorTitle="Project Start Date" error="The Project Start date must be less than or equal to the Project End Date." sqref="B47 B27 B57 B67 B77 B37">
      <formula1>41275</formula1>
      <formula2>47848</formula2>
    </dataValidation>
    <dataValidation type="date" operator="greaterThanOrEqual" showErrorMessage="1" errorTitle="End Date" error="This date must be greater than or equal to the Project Start Date." promptTitle="Enter End Date" prompt="Date should be either the AWARD End Date or the PROJECT budget period End Date." sqref="B18 B28 B38 B48 B58 B68 B78">
      <formula1>B17</formula1>
    </dataValidation>
    <dataValidation type="custom" operator="greaterThan" allowBlank="1" showInputMessage="1" showErrorMessage="1" errorTitle="MTDC Amount" error="This amount must be greater than 0." promptTitle="MTDC" prompt="Enter the Modified Total Direct Cost amount (the amount that is eligible for F&amp;A)." sqref="D17">
      <formula1>IF(C57=0,D57=0,D57&gt;0)</formula1>
    </dataValidation>
    <dataValidation type="custom" operator="greaterThanOrEqual" allowBlank="1" showInputMessage="1" showErrorMessage="1" errorTitle="MTDC Amount" error="This amount must be greater than 0." promptTitle="MTDC" prompt="Enter the Modified Total Direct Cost amount (the amount that is eligible for F&amp;A)." sqref="D27">
      <formula1>IF(C57=0,D57=0,D57&gt;0)</formula1>
    </dataValidation>
    <dataValidation type="date" allowBlank="1" showInputMessage="1" showErrorMessage="1" errorTitle="Project Start Date" error="The Project Start date must be less than or equal to the Project End Date." sqref="B17">
      <formula1>40179</formula1>
      <formula2>47848</formula2>
    </dataValidation>
    <dataValidation type="custom" operator="greaterThan" allowBlank="1" showInputMessage="1" showErrorMessage="1" errorTitle="MTDC Amount" error="This amount must be greater than 0." promptTitle="MTDC" prompt="Enter the Modified Total Direct Cost amount (the amount that is eligible for F&amp;A)." sqref="D57">
      <formula1>IF(C57=0,D57=0,D57&gt;0)</formula1>
    </dataValidation>
    <dataValidation type="custom" operator="greaterThan" allowBlank="1" showInputMessage="1" showErrorMessage="1" errorTitle="MTDC Amount" error="This amount must be greater than 0." promptTitle="MTDC" prompt="Enter the Modified Total Direct Cost amount (the amount that is eligible for F&amp;A)." sqref="D67">
      <formula1>IF(C57=0,D57=0,D57&gt;0)</formula1>
    </dataValidation>
    <dataValidation type="custom" operator="greaterThan" allowBlank="1" showInputMessage="1" showErrorMessage="1" errorTitle="MTDC Amount" error="This amount must be greater than 0." promptTitle="MTDC" prompt="Enter the Modified Total Direct Cost amount (the amount that is eligible for F&amp;A)." sqref="D77">
      <formula1>IF(C57=0,D57=0,D57&gt;0)</formula1>
    </dataValidation>
    <dataValidation type="custom" operator="greaterThan" allowBlank="1" showInputMessage="1" showErrorMessage="1" errorTitle="MTDC Amount" error="This amount must be greater than 0." promptTitle="MTDC" prompt="Enter the Modified Total Direct Cost amount (the amount that is eligible for F&amp;A)." sqref="D47">
      <formula1>IF(C57=0,D57=0,D57&gt;0)</formula1>
    </dataValidation>
    <dataValidation type="custom" operator="greaterThan" allowBlank="1" showInputMessage="1" showErrorMessage="1" errorTitle="MTDC Amount" error="This amount must be greater than 0." promptTitle="MTDC" prompt="Enter the Modified Total Direct Cost amount (the amount that is eligible for F&amp;A)." sqref="D37">
      <formula1>IF(C57=0,D57=0,D57&gt;0)</formula1>
    </dataValidation>
  </dataValidations>
  <pageMargins left="0.7" right="0.7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82"/>
  <sheetViews>
    <sheetView workbookViewId="0">
      <selection activeCell="B37" sqref="B37"/>
    </sheetView>
  </sheetViews>
  <sheetFormatPr defaultColWidth="16.33203125" defaultRowHeight="13.2" x14ac:dyDescent="0.25"/>
  <cols>
    <col min="1" max="1" width="25.88671875" style="165" bestFit="1" customWidth="1"/>
    <col min="2" max="2" width="11" style="165" customWidth="1"/>
    <col min="3" max="3" width="11.44140625" style="165" hidden="1" customWidth="1"/>
    <col min="4" max="4" width="24.109375" style="165" customWidth="1"/>
    <col min="5" max="5" width="16.33203125" style="165" bestFit="1" customWidth="1"/>
    <col min="6" max="6" width="11.88671875" style="165" bestFit="1" customWidth="1"/>
    <col min="7" max="7" width="13.88671875" style="165" hidden="1" customWidth="1"/>
    <col min="8" max="8" width="9" style="165" bestFit="1" customWidth="1"/>
    <col min="9" max="9" width="15.109375" style="165" bestFit="1" customWidth="1"/>
    <col min="10" max="10" width="14" style="165" bestFit="1" customWidth="1"/>
    <col min="11" max="11" width="26.88671875" style="165" bestFit="1" customWidth="1"/>
    <col min="12" max="12" width="13.109375" style="165" bestFit="1" customWidth="1"/>
    <col min="13" max="13" width="11.44140625" style="165" bestFit="1" customWidth="1"/>
    <col min="14" max="16384" width="16.33203125" style="165"/>
  </cols>
  <sheetData>
    <row r="1" spans="1:13" x14ac:dyDescent="0.25">
      <c r="D1" s="230" t="s">
        <v>211</v>
      </c>
    </row>
    <row r="3" spans="1:13" x14ac:dyDescent="0.25">
      <c r="A3" s="230" t="s">
        <v>210</v>
      </c>
      <c r="B3" s="190" t="s">
        <v>209</v>
      </c>
    </row>
    <row r="4" spans="1:13" x14ac:dyDescent="0.25">
      <c r="A4" s="230"/>
      <c r="B4" s="190" t="s">
        <v>208</v>
      </c>
    </row>
    <row r="5" spans="1:13" x14ac:dyDescent="0.25">
      <c r="A5" s="230"/>
      <c r="B5" s="190"/>
    </row>
    <row r="6" spans="1:13" hidden="1" x14ac:dyDescent="0.25">
      <c r="A6" s="230"/>
      <c r="B6" s="190" t="s">
        <v>207</v>
      </c>
    </row>
    <row r="7" spans="1:13" hidden="1" x14ac:dyDescent="0.25">
      <c r="A7" s="230"/>
      <c r="B7" s="190" t="s">
        <v>206</v>
      </c>
    </row>
    <row r="8" spans="1:13" hidden="1" x14ac:dyDescent="0.25">
      <c r="A8" s="230"/>
      <c r="B8" s="190"/>
    </row>
    <row r="9" spans="1:13" x14ac:dyDescent="0.25">
      <c r="A9" s="230"/>
      <c r="B9" s="190" t="s">
        <v>205</v>
      </c>
    </row>
    <row r="10" spans="1:13" ht="13.8" thickBot="1" x14ac:dyDescent="0.3">
      <c r="A10" s="230"/>
      <c r="B10" s="190"/>
    </row>
    <row r="11" spans="1:13" x14ac:dyDescent="0.25">
      <c r="A11" s="230"/>
      <c r="B11" s="229"/>
      <c r="C11" s="228"/>
      <c r="D11" s="227" t="s">
        <v>204</v>
      </c>
      <c r="E11" s="228"/>
      <c r="F11" s="228"/>
      <c r="G11" s="228"/>
      <c r="H11" s="228"/>
      <c r="I11" s="227" t="s">
        <v>203</v>
      </c>
    </row>
    <row r="12" spans="1:13" ht="13.8" thickBot="1" x14ac:dyDescent="0.3">
      <c r="A12" s="226" t="s">
        <v>202</v>
      </c>
      <c r="B12" s="225"/>
      <c r="C12" s="224"/>
      <c r="D12" s="223">
        <f>D22+D32+D42+D52+D62+D72+D82</f>
        <v>0</v>
      </c>
      <c r="E12" s="224"/>
      <c r="F12" s="224"/>
      <c r="G12" s="224"/>
      <c r="H12" s="224"/>
      <c r="I12" s="223">
        <f>I22+I32+I42+I52+I62+I72+I82</f>
        <v>0</v>
      </c>
    </row>
    <row r="15" spans="1:13" ht="27" thickBot="1" x14ac:dyDescent="0.3">
      <c r="A15" s="207" t="s">
        <v>201</v>
      </c>
      <c r="B15" s="203" t="s">
        <v>190</v>
      </c>
      <c r="C15" s="204" t="s">
        <v>188</v>
      </c>
      <c r="D15" s="206" t="s">
        <v>189</v>
      </c>
      <c r="E15" s="204" t="s">
        <v>188</v>
      </c>
      <c r="F15" s="205"/>
      <c r="G15" s="204" t="s">
        <v>188</v>
      </c>
      <c r="H15" s="190"/>
      <c r="I15" s="204" t="s">
        <v>188</v>
      </c>
      <c r="J15" s="204" t="s">
        <v>188</v>
      </c>
      <c r="K15" s="222" t="s">
        <v>200</v>
      </c>
      <c r="L15" s="221"/>
    </row>
    <row r="16" spans="1:13" ht="13.8" thickBot="1" x14ac:dyDescent="0.3">
      <c r="A16" s="190"/>
      <c r="B16" s="203" t="s">
        <v>187</v>
      </c>
      <c r="C16" s="200" t="s">
        <v>186</v>
      </c>
      <c r="D16" s="202" t="s">
        <v>185</v>
      </c>
      <c r="E16" s="201" t="s">
        <v>184</v>
      </c>
      <c r="F16" s="200" t="s">
        <v>183</v>
      </c>
      <c r="G16" s="200" t="s">
        <v>182</v>
      </c>
      <c r="H16" s="199" t="s">
        <v>176</v>
      </c>
      <c r="I16" s="199" t="s">
        <v>181</v>
      </c>
      <c r="J16" s="198" t="s">
        <v>180</v>
      </c>
      <c r="K16" s="219" t="s">
        <v>199</v>
      </c>
      <c r="L16" s="220" t="s">
        <v>198</v>
      </c>
      <c r="M16" s="219" t="s">
        <v>197</v>
      </c>
    </row>
    <row r="17" spans="1:13" ht="13.8" thickBot="1" x14ac:dyDescent="0.3">
      <c r="A17" s="197" t="s">
        <v>179</v>
      </c>
      <c r="B17" s="191">
        <f>Summary!H11</f>
        <v>42917</v>
      </c>
      <c r="C17" s="196">
        <f>ROUND(IF((B17=0),0,(B18-B17))/30,0)</f>
        <v>12</v>
      </c>
      <c r="D17" s="195">
        <f>Summary!I100</f>
        <v>0</v>
      </c>
      <c r="E17" s="194">
        <f>IF(ISERROR(D17/F22),0,(D17/F22))</f>
        <v>0</v>
      </c>
      <c r="F17" s="186">
        <f>IF(OR($B$18&lt;$K17,$B$17&gt;$L17),0,(MIN($B$18,$L17)-MAX($B$17,$K17)+1))</f>
        <v>0</v>
      </c>
      <c r="G17" s="186">
        <f>ROUND(IF(ISERROR(F17/365),0,(F17/365)*12),2)</f>
        <v>0</v>
      </c>
      <c r="H17" s="185">
        <f>IF(OR($B$18&lt;$K17,$B$17&gt;$L17),0,M17)</f>
        <v>0</v>
      </c>
      <c r="I17" s="184">
        <f>(F17*$E$17)*H17</f>
        <v>0</v>
      </c>
      <c r="J17" s="183">
        <f>IF(ISERROR(I17/H17),0,(I17/H17))</f>
        <v>0</v>
      </c>
      <c r="K17" s="216">
        <v>42552</v>
      </c>
      <c r="L17" s="215">
        <v>42916</v>
      </c>
      <c r="M17" s="214">
        <v>0.52</v>
      </c>
    </row>
    <row r="18" spans="1:13" ht="13.8" thickBot="1" x14ac:dyDescent="0.3">
      <c r="A18" s="192" t="s">
        <v>178</v>
      </c>
      <c r="B18" s="191">
        <f>Summary!I11</f>
        <v>43281</v>
      </c>
      <c r="C18" s="218"/>
      <c r="D18" s="188"/>
      <c r="E18" s="187"/>
      <c r="F18" s="186">
        <f>IF(OR($B$18&lt;$K18,$B$17&gt;$L18),0,(MIN($B$18,$L18)-MAX($B$17,$K18)+1))</f>
        <v>365</v>
      </c>
      <c r="G18" s="186">
        <f>ROUND(IF(ISERROR(F18/365),0,(F18/365)*12),2)</f>
        <v>12</v>
      </c>
      <c r="H18" s="185">
        <f>IF(OR($B$18&lt;$K18,$B$17&gt;$L18),0,M18)</f>
        <v>0.52</v>
      </c>
      <c r="I18" s="184">
        <f>(F18*$E$17)*H18</f>
        <v>0</v>
      </c>
      <c r="J18" s="183">
        <f>IF(ISERROR(I18/H18),0,(I18/H18))</f>
        <v>0</v>
      </c>
      <c r="K18" s="216">
        <v>42917</v>
      </c>
      <c r="L18" s="215">
        <v>43281</v>
      </c>
      <c r="M18" s="214">
        <v>0.52</v>
      </c>
    </row>
    <row r="19" spans="1:13" x14ac:dyDescent="0.25">
      <c r="C19" s="217"/>
      <c r="D19" s="188"/>
      <c r="E19" s="187"/>
      <c r="F19" s="186">
        <f>IF(OR($B$18&lt;$K19,$B$17&gt;$L19),0,(MIN($B$18,$L19)-MAX($B$17,$K19)+1))</f>
        <v>0</v>
      </c>
      <c r="G19" s="186">
        <f>ROUND(IF(ISERROR(F19/365),0,(F19/365)*12),2)</f>
        <v>0</v>
      </c>
      <c r="H19" s="185">
        <f>IF(OR($B$18&lt;$K19,$B$17&gt;$L19),0,M19)</f>
        <v>0</v>
      </c>
      <c r="I19" s="184">
        <f>(F19*$E$17)*H19</f>
        <v>0</v>
      </c>
      <c r="J19" s="183">
        <f>IF(ISERROR(I19/H19),0,(I19/H19))</f>
        <v>0</v>
      </c>
      <c r="K19" s="216">
        <v>43282</v>
      </c>
      <c r="L19" s="215">
        <v>43646</v>
      </c>
      <c r="M19" s="214">
        <v>0.53</v>
      </c>
    </row>
    <row r="20" spans="1:13" x14ac:dyDescent="0.25">
      <c r="A20" s="190"/>
      <c r="C20" s="189"/>
      <c r="D20" s="188"/>
      <c r="E20" s="187"/>
      <c r="F20" s="186">
        <f>IF(OR($B$18&lt;$K20,$B$17&gt;$L20),0,(MIN($B$18,$L20)-MAX($B$17,$K20)+1))</f>
        <v>0</v>
      </c>
      <c r="G20" s="186">
        <f>ROUND(IF(ISERROR(F20/365),0,(F20/365)*12),2)</f>
        <v>0</v>
      </c>
      <c r="H20" s="185">
        <f>IF(OR($B$18&lt;$K20,$B$17&gt;$L20),0,M20)</f>
        <v>0</v>
      </c>
      <c r="I20" s="184">
        <f>(F20*$E$17)*H20</f>
        <v>0</v>
      </c>
      <c r="J20" s="183">
        <f>IF(ISERROR(I20/H20),0,(I20/H20))</f>
        <v>0</v>
      </c>
      <c r="K20" s="216">
        <v>43647</v>
      </c>
      <c r="L20" s="215">
        <v>44012</v>
      </c>
      <c r="M20" s="214">
        <v>0.53</v>
      </c>
    </row>
    <row r="21" spans="1:13" x14ac:dyDescent="0.25">
      <c r="B21" s="182"/>
      <c r="C21" s="181"/>
      <c r="D21" s="180"/>
      <c r="E21" s="179"/>
      <c r="F21" s="178">
        <f>IF(OR($B$18&lt;$K21,$B$17&gt;$L21),0,(MIN($B$18,$L21)-MAX($B$17,$K21)+1))</f>
        <v>0</v>
      </c>
      <c r="G21" s="178">
        <f>ROUND(IF(ISERROR(F21/365),0,(F21/365)*12),2)</f>
        <v>0</v>
      </c>
      <c r="H21" s="177">
        <f>IF(OR($B$18&lt;$K21,$B$17&gt;$L21),0,M21)</f>
        <v>0</v>
      </c>
      <c r="I21" s="176">
        <f>(F21*$E$17)*H21</f>
        <v>0</v>
      </c>
      <c r="J21" s="175">
        <f>IF(ISERROR(I21/H21),0,(I21/H21))</f>
        <v>0</v>
      </c>
      <c r="K21" s="216">
        <v>44013</v>
      </c>
      <c r="L21" s="215">
        <v>47664</v>
      </c>
      <c r="M21" s="214">
        <v>0.54</v>
      </c>
    </row>
    <row r="22" spans="1:13" x14ac:dyDescent="0.25">
      <c r="B22" s="174" t="s">
        <v>177</v>
      </c>
      <c r="C22" s="173"/>
      <c r="D22" s="172">
        <f>SUM(D17:D21)</f>
        <v>0</v>
      </c>
      <c r="E22" s="171"/>
      <c r="F22" s="170">
        <f>SUM(F17:F21)</f>
        <v>365</v>
      </c>
      <c r="G22" s="169">
        <f>SUM(G17:G21)</f>
        <v>12</v>
      </c>
      <c r="H22" s="168">
        <f>AVERAGEIF(H17:H21,"&lt;&gt;0")</f>
        <v>0.52</v>
      </c>
      <c r="I22" s="167">
        <f>SUM(I17:I21)</f>
        <v>0</v>
      </c>
      <c r="J22" s="166">
        <f>SUM(J17:J21)</f>
        <v>0</v>
      </c>
      <c r="K22" s="213"/>
      <c r="L22" s="213"/>
      <c r="M22" s="213"/>
    </row>
    <row r="23" spans="1:13" x14ac:dyDescent="0.25">
      <c r="F23" s="212"/>
      <c r="G23" s="205"/>
    </row>
    <row r="24" spans="1:13" ht="14.25" customHeight="1" x14ac:dyDescent="0.25">
      <c r="F24" s="205"/>
      <c r="G24" s="205"/>
    </row>
    <row r="25" spans="1:13" ht="18" customHeight="1" thickBot="1" x14ac:dyDescent="0.3">
      <c r="A25" s="207" t="s">
        <v>196</v>
      </c>
      <c r="B25" s="203" t="s">
        <v>190</v>
      </c>
      <c r="C25" s="204" t="s">
        <v>188</v>
      </c>
      <c r="D25" s="206" t="s">
        <v>189</v>
      </c>
      <c r="E25" s="204" t="s">
        <v>188</v>
      </c>
      <c r="F25" s="205"/>
      <c r="G25" s="204" t="s">
        <v>188</v>
      </c>
      <c r="H25" s="190"/>
      <c r="I25" s="204" t="s">
        <v>188</v>
      </c>
      <c r="J25" s="204" t="s">
        <v>188</v>
      </c>
    </row>
    <row r="26" spans="1:13" ht="13.8" thickBot="1" x14ac:dyDescent="0.3">
      <c r="A26" s="190"/>
      <c r="B26" s="203" t="s">
        <v>187</v>
      </c>
      <c r="C26" s="211" t="s">
        <v>186</v>
      </c>
      <c r="D26" s="202" t="s">
        <v>185</v>
      </c>
      <c r="E26" s="201" t="s">
        <v>184</v>
      </c>
      <c r="F26" s="200" t="s">
        <v>183</v>
      </c>
      <c r="G26" s="200" t="s">
        <v>182</v>
      </c>
      <c r="H26" s="199" t="s">
        <v>176</v>
      </c>
      <c r="I26" s="199" t="s">
        <v>181</v>
      </c>
      <c r="J26" s="198" t="s">
        <v>180</v>
      </c>
    </row>
    <row r="27" spans="1:13" ht="13.8" thickBot="1" x14ac:dyDescent="0.3">
      <c r="A27" s="197" t="s">
        <v>179</v>
      </c>
      <c r="B27" s="191">
        <f>Summary!J11</f>
        <v>43282</v>
      </c>
      <c r="C27" s="196">
        <f>ROUND(IF((B27=0),0,(B28-B27))/30,0)</f>
        <v>12</v>
      </c>
      <c r="D27" s="195">
        <f>Summary!K100</f>
        <v>0</v>
      </c>
      <c r="E27" s="194">
        <f>IF(ISERROR(D27/F32),0,(D27/F32))</f>
        <v>0</v>
      </c>
      <c r="F27" s="186">
        <f>IF(OR($B$28&lt;$K17,$B$27&gt;$L17),0,(MIN($B$28,$L17)-MAX($B$27,$K17)+1))</f>
        <v>0</v>
      </c>
      <c r="G27" s="186">
        <f>ROUND(IF(ISERROR(F27/365),0,(F27/365))*12,0)</f>
        <v>0</v>
      </c>
      <c r="H27" s="185">
        <f>IF(OR($B$28&lt;$K17,$B$27&gt;$L17),0,M17)</f>
        <v>0</v>
      </c>
      <c r="I27" s="184">
        <f>(F27*$E$27)*H27</f>
        <v>0</v>
      </c>
      <c r="J27" s="183">
        <f>IF(ISERROR(I27/H27),0,(I27/H27))</f>
        <v>0</v>
      </c>
    </row>
    <row r="28" spans="1:13" ht="13.8" thickBot="1" x14ac:dyDescent="0.3">
      <c r="A28" s="192" t="s">
        <v>178</v>
      </c>
      <c r="B28" s="191">
        <f>Summary!K11</f>
        <v>43646</v>
      </c>
      <c r="D28" s="188"/>
      <c r="E28" s="187"/>
      <c r="F28" s="186">
        <f>IF(OR($B$28&lt;$K18,$B$27&gt;$L18),0,(MIN($B$28,$L18)-MAX($B$27,$K18)+1))</f>
        <v>0</v>
      </c>
      <c r="G28" s="186">
        <f>ROUND(IF(ISERROR(F28/365),0,(F28/365))*12,0)</f>
        <v>0</v>
      </c>
      <c r="H28" s="185">
        <f>IF(OR($B$28&lt;$K18,$B$27&gt;$L18),0,M18)</f>
        <v>0</v>
      </c>
      <c r="I28" s="184">
        <f>(F28*$E$27)*H28</f>
        <v>0</v>
      </c>
      <c r="J28" s="183">
        <f>IF(ISERROR(I28/H28),0,(I28/H28))</f>
        <v>0</v>
      </c>
    </row>
    <row r="29" spans="1:13" x14ac:dyDescent="0.25">
      <c r="C29" s="189"/>
      <c r="D29" s="188"/>
      <c r="E29" s="187"/>
      <c r="F29" s="186">
        <f>IF(OR($B$28&lt;$K19,$B$27&gt;$L19),0,(MIN($B$28,$L19)-MAX($B$27,$K19)+1))</f>
        <v>365</v>
      </c>
      <c r="G29" s="186">
        <f>ROUND(IF(ISERROR(F29/365),0,(F29/365))*12,0)</f>
        <v>12</v>
      </c>
      <c r="H29" s="185">
        <f>IF(OR($B$28&lt;$K19,$B$27&gt;$L19),0,M19)</f>
        <v>0.53</v>
      </c>
      <c r="I29" s="184">
        <f>(F29*$E$27)*H29</f>
        <v>0</v>
      </c>
      <c r="J29" s="183">
        <f>IF(ISERROR(I29/H29),0,(I29/H29))</f>
        <v>0</v>
      </c>
    </row>
    <row r="30" spans="1:13" x14ac:dyDescent="0.25">
      <c r="A30" s="190"/>
      <c r="C30" s="189"/>
      <c r="D30" s="188"/>
      <c r="E30" s="187"/>
      <c r="F30" s="186">
        <f>IF(OR($B$28&lt;$K20,$B$27&gt;$L20),0,(MIN($B$28,$L20)-MAX($B$27,$K20)+1))</f>
        <v>0</v>
      </c>
      <c r="G30" s="186">
        <f>ROUND(IF(ISERROR(F30/365),0,(F30/365))*12,0)</f>
        <v>0</v>
      </c>
      <c r="H30" s="185">
        <f>IF(OR($B$28&lt;$K20,$B$27&gt;$L20),0,M20)</f>
        <v>0</v>
      </c>
      <c r="I30" s="184">
        <f>(F30*$E$27)*H30</f>
        <v>0</v>
      </c>
      <c r="J30" s="183">
        <f>IF(ISERROR(I30/H30),0,(I30/H30))</f>
        <v>0</v>
      </c>
    </row>
    <row r="31" spans="1:13" x14ac:dyDescent="0.25">
      <c r="B31" s="182"/>
      <c r="C31" s="181"/>
      <c r="D31" s="180"/>
      <c r="E31" s="179"/>
      <c r="F31" s="178">
        <f>IF(OR($B$28&lt;$K21,$B$27&gt;$L21),0,(MIN($B$28,$L21)-MAX($B$27,$K21)+1))</f>
        <v>0</v>
      </c>
      <c r="G31" s="178">
        <f>ROUND(IF(ISERROR(F31/365),0,(F31/365))*12,0)</f>
        <v>0</v>
      </c>
      <c r="H31" s="177">
        <f>IF(OR($B$28&lt;$K21,$B$27&gt;$L21),0,M21)</f>
        <v>0</v>
      </c>
      <c r="I31" s="176">
        <f>(F31*$E$27)*H31</f>
        <v>0</v>
      </c>
      <c r="J31" s="175">
        <f>IF(ISERROR(I31/H31),0,(I31/H31))</f>
        <v>0</v>
      </c>
    </row>
    <row r="32" spans="1:13" x14ac:dyDescent="0.25">
      <c r="B32" s="174" t="s">
        <v>177</v>
      </c>
      <c r="C32" s="173"/>
      <c r="D32" s="172">
        <f>SUM(D27:D31)</f>
        <v>0</v>
      </c>
      <c r="E32" s="171"/>
      <c r="F32" s="170">
        <f>SUM(F27:F31)</f>
        <v>365</v>
      </c>
      <c r="G32" s="169">
        <f>SUM(G27:G31)</f>
        <v>12</v>
      </c>
      <c r="H32" s="168">
        <f>AVERAGEIF(H27:H31,"&lt;&gt;0")</f>
        <v>0.53</v>
      </c>
      <c r="I32" s="167">
        <f>SUM(I27:I31)</f>
        <v>0</v>
      </c>
      <c r="J32" s="166">
        <f>SUM(J27:J31)</f>
        <v>0</v>
      </c>
      <c r="K32" s="208"/>
    </row>
    <row r="33" spans="1:12" x14ac:dyDescent="0.25">
      <c r="F33" s="205"/>
      <c r="K33" s="208"/>
    </row>
    <row r="34" spans="1:12" x14ac:dyDescent="0.25">
      <c r="C34" s="210"/>
      <c r="F34" s="205"/>
      <c r="K34" s="208"/>
    </row>
    <row r="35" spans="1:12" ht="13.8" thickBot="1" x14ac:dyDescent="0.3">
      <c r="A35" s="207" t="s">
        <v>195</v>
      </c>
      <c r="B35" s="203" t="s">
        <v>190</v>
      </c>
      <c r="C35" s="204" t="s">
        <v>188</v>
      </c>
      <c r="D35" s="206" t="s">
        <v>189</v>
      </c>
      <c r="E35" s="204" t="s">
        <v>188</v>
      </c>
      <c r="F35" s="205"/>
      <c r="G35" s="204" t="s">
        <v>188</v>
      </c>
      <c r="H35" s="190"/>
      <c r="I35" s="204" t="s">
        <v>188</v>
      </c>
      <c r="J35" s="204" t="s">
        <v>188</v>
      </c>
    </row>
    <row r="36" spans="1:12" ht="13.8" thickBot="1" x14ac:dyDescent="0.3">
      <c r="A36" s="190"/>
      <c r="B36" s="203" t="s">
        <v>187</v>
      </c>
      <c r="C36" s="200" t="s">
        <v>186</v>
      </c>
      <c r="D36" s="202" t="s">
        <v>185</v>
      </c>
      <c r="E36" s="201" t="s">
        <v>184</v>
      </c>
      <c r="F36" s="200" t="s">
        <v>183</v>
      </c>
      <c r="G36" s="200" t="s">
        <v>182</v>
      </c>
      <c r="H36" s="199" t="s">
        <v>176</v>
      </c>
      <c r="I36" s="199" t="s">
        <v>181</v>
      </c>
      <c r="J36" s="198" t="s">
        <v>180</v>
      </c>
    </row>
    <row r="37" spans="1:12" ht="13.8" thickBot="1" x14ac:dyDescent="0.3">
      <c r="A37" s="197" t="s">
        <v>179</v>
      </c>
      <c r="B37" s="191">
        <f>Summary!L11</f>
        <v>43647</v>
      </c>
      <c r="C37" s="196">
        <f>ROUND(IF((B37=0),0,(B38-B37))/30,0)</f>
        <v>12</v>
      </c>
      <c r="D37" s="195">
        <f>Summary!M100</f>
        <v>0</v>
      </c>
      <c r="E37" s="194">
        <f>IF(ISERROR(D37/F42),0,(D37/F42))</f>
        <v>0</v>
      </c>
      <c r="F37" s="193">
        <f>IF(OR($B$38&lt;$K17,$B$37&gt;$L17),0,(MIN($B$38,$L17)-MAX($B$37,$K17)+1))</f>
        <v>0</v>
      </c>
      <c r="G37" s="186">
        <f>ROUND(IF(ISERROR(F37/365),0,(F37/365))*12,0)</f>
        <v>0</v>
      </c>
      <c r="H37" s="185">
        <f>IF(OR($B$38&lt;$K17,$B$37&gt;$L17),0,M17)</f>
        <v>0</v>
      </c>
      <c r="I37" s="184">
        <f>(F37*$E$37)*H37</f>
        <v>0</v>
      </c>
      <c r="J37" s="183">
        <f>IF(ISERROR(I37/H37),0,(I37/H37))</f>
        <v>0</v>
      </c>
    </row>
    <row r="38" spans="1:12" ht="13.8" thickBot="1" x14ac:dyDescent="0.3">
      <c r="A38" s="192" t="s">
        <v>178</v>
      </c>
      <c r="B38" s="191">
        <f>Summary!M11</f>
        <v>44012</v>
      </c>
      <c r="D38" s="188"/>
      <c r="E38" s="187"/>
      <c r="F38" s="186">
        <f>IF(OR($B$38&lt;$K18,$B$37&gt;$L18),0,(MIN($B$38,$L18)-MAX($B$37,$K18)+1))</f>
        <v>0</v>
      </c>
      <c r="G38" s="186">
        <f>ROUND(IF(ISERROR(F38/365),0,(F38/365))*12,0)</f>
        <v>0</v>
      </c>
      <c r="H38" s="185">
        <f>IF(OR($B$38&lt;$K18,$B$37&gt;$L18),0,M18)</f>
        <v>0</v>
      </c>
      <c r="I38" s="184">
        <f>(F38*$E$37)*H38</f>
        <v>0</v>
      </c>
      <c r="J38" s="183">
        <f>IF(ISERROR(I38/H38),0,(I38/H38))</f>
        <v>0</v>
      </c>
      <c r="K38" s="208"/>
      <c r="L38" s="208"/>
    </row>
    <row r="39" spans="1:12" x14ac:dyDescent="0.25">
      <c r="C39" s="189"/>
      <c r="D39" s="188"/>
      <c r="E39" s="187"/>
      <c r="F39" s="186">
        <f>IF(OR($B$38&lt;$K19,$B$37&gt;$L19),0,(MIN($B$38,$L19)-MAX($B$37,$K19)+1))</f>
        <v>0</v>
      </c>
      <c r="G39" s="186">
        <f>ROUND(IF(ISERROR(F39/365),0,(F39/365))*12,0)</f>
        <v>0</v>
      </c>
      <c r="H39" s="185">
        <f>IF(OR($B$38&lt;$K19,$B$37&gt;$L19),0,M19)</f>
        <v>0</v>
      </c>
      <c r="I39" s="184">
        <f>(F39*$E$37)*H39</f>
        <v>0</v>
      </c>
      <c r="J39" s="183">
        <f>IF(ISERROR(I39/H39),0,(I39/H39))</f>
        <v>0</v>
      </c>
      <c r="K39" s="208"/>
      <c r="L39" s="208"/>
    </row>
    <row r="40" spans="1:12" x14ac:dyDescent="0.25">
      <c r="A40" s="190"/>
      <c r="C40" s="189"/>
      <c r="D40" s="188"/>
      <c r="E40" s="187"/>
      <c r="F40" s="186">
        <f>IF(OR($B$38&lt;$K20,$B$37&gt;$L20),0,(MIN($B$38,$L20)-MAX($B$37,$K20)+1))</f>
        <v>366</v>
      </c>
      <c r="G40" s="186">
        <f>ROUND(IF(ISERROR(F40/365),0,(F40/365))*12,0)</f>
        <v>12</v>
      </c>
      <c r="H40" s="185">
        <f>IF(OR($B$38&lt;$K20,$B$37&gt;$L20),0,M20)</f>
        <v>0.53</v>
      </c>
      <c r="I40" s="184">
        <f>(F40*$E$37)*H40</f>
        <v>0</v>
      </c>
      <c r="J40" s="183">
        <f>IF(ISERROR(I40/H40),0,(I40/H40))</f>
        <v>0</v>
      </c>
      <c r="K40" s="208"/>
      <c r="L40" s="208"/>
    </row>
    <row r="41" spans="1:12" x14ac:dyDescent="0.25">
      <c r="B41" s="182"/>
      <c r="C41" s="181"/>
      <c r="D41" s="180"/>
      <c r="E41" s="179"/>
      <c r="F41" s="178">
        <f>IF(OR($B$38&lt;$K21,$B$37&gt;$L21),0,(MIN($B$38,$L21)-MAX($B$37,$K21)+1))</f>
        <v>0</v>
      </c>
      <c r="G41" s="178">
        <f>ROUND(IF(ISERROR(F41/365),0,(F41/365))*12,0)</f>
        <v>0</v>
      </c>
      <c r="H41" s="177">
        <f>IF(OR($B$38&lt;$K21,$B$37&gt;$L21),0,M21)</f>
        <v>0</v>
      </c>
      <c r="I41" s="176">
        <f>(F41*$E$37)*H41</f>
        <v>0</v>
      </c>
      <c r="J41" s="175">
        <f>IF(ISERROR(I41/H41),0,(I41/H41))</f>
        <v>0</v>
      </c>
    </row>
    <row r="42" spans="1:12" x14ac:dyDescent="0.25">
      <c r="B42" s="174" t="s">
        <v>177</v>
      </c>
      <c r="C42" s="173"/>
      <c r="D42" s="172">
        <f>SUM(D37:D41)</f>
        <v>0</v>
      </c>
      <c r="E42" s="171"/>
      <c r="F42" s="170">
        <f>SUM(F37:F41)</f>
        <v>366</v>
      </c>
      <c r="G42" s="169">
        <f>SUM(G37:G41)</f>
        <v>12</v>
      </c>
      <c r="H42" s="168">
        <f>AVERAGEIF(H37:H41,"&lt;&gt;0")</f>
        <v>0.53</v>
      </c>
      <c r="I42" s="167">
        <f>SUM(I37:I41)</f>
        <v>0</v>
      </c>
      <c r="J42" s="166">
        <f>SUM(J37:J41)</f>
        <v>0</v>
      </c>
      <c r="K42" s="208"/>
    </row>
    <row r="43" spans="1:12" x14ac:dyDescent="0.25">
      <c r="F43" s="205"/>
      <c r="K43" s="208"/>
    </row>
    <row r="44" spans="1:12" x14ac:dyDescent="0.25">
      <c r="F44" s="205"/>
    </row>
    <row r="45" spans="1:12" ht="13.8" thickBot="1" x14ac:dyDescent="0.3">
      <c r="A45" s="207" t="s">
        <v>194</v>
      </c>
      <c r="B45" s="203" t="s">
        <v>190</v>
      </c>
      <c r="C45" s="204" t="s">
        <v>188</v>
      </c>
      <c r="D45" s="206" t="s">
        <v>189</v>
      </c>
      <c r="E45" s="204" t="s">
        <v>188</v>
      </c>
      <c r="F45" s="205"/>
      <c r="G45" s="204" t="s">
        <v>188</v>
      </c>
      <c r="H45" s="190"/>
      <c r="I45" s="204" t="s">
        <v>188</v>
      </c>
      <c r="J45" s="204" t="s">
        <v>188</v>
      </c>
      <c r="K45" s="208"/>
    </row>
    <row r="46" spans="1:12" ht="13.8" thickBot="1" x14ac:dyDescent="0.3">
      <c r="A46" s="190"/>
      <c r="B46" s="203" t="s">
        <v>187</v>
      </c>
      <c r="C46" s="200" t="s">
        <v>186</v>
      </c>
      <c r="D46" s="202" t="s">
        <v>185</v>
      </c>
      <c r="E46" s="201" t="s">
        <v>184</v>
      </c>
      <c r="F46" s="200" t="s">
        <v>183</v>
      </c>
      <c r="G46" s="200" t="s">
        <v>182</v>
      </c>
      <c r="H46" s="199" t="s">
        <v>176</v>
      </c>
      <c r="I46" s="199" t="s">
        <v>181</v>
      </c>
      <c r="J46" s="198" t="s">
        <v>180</v>
      </c>
    </row>
    <row r="47" spans="1:12" ht="13.8" thickBot="1" x14ac:dyDescent="0.3">
      <c r="A47" s="197" t="s">
        <v>179</v>
      </c>
      <c r="B47" s="191">
        <f>Summary!N11</f>
        <v>44013</v>
      </c>
      <c r="C47" s="196">
        <f>ROUND(IF((B47=0),0,(B48-B47))/30,0)</f>
        <v>12</v>
      </c>
      <c r="D47" s="195">
        <f>Summary!O100</f>
        <v>0</v>
      </c>
      <c r="E47" s="194">
        <f>IF(ISERROR(D47/F52),0,(D47/F52))</f>
        <v>0</v>
      </c>
      <c r="F47" s="193">
        <f>IF(OR($B$48&lt;$K17,$B$47&gt;$L17),0,(MIN($B$48,$L17)-MAX($B$47,$K17)+1))</f>
        <v>0</v>
      </c>
      <c r="G47" s="186">
        <f>ROUND(IF(ISERROR(F47/365),0,(F47/365))*12,0)</f>
        <v>0</v>
      </c>
      <c r="H47" s="185">
        <f>IF(OR($B$48&lt;$K17,$B$47&gt;$L17),0,M17)</f>
        <v>0</v>
      </c>
      <c r="I47" s="184">
        <f>(F47*$E$47)*H47</f>
        <v>0</v>
      </c>
      <c r="J47" s="183">
        <f>IF(ISERROR(I47/H47),0,(I47/H47))</f>
        <v>0</v>
      </c>
    </row>
    <row r="48" spans="1:12" ht="13.8" thickBot="1" x14ac:dyDescent="0.3">
      <c r="A48" s="192" t="s">
        <v>178</v>
      </c>
      <c r="B48" s="191">
        <f>Summary!O11</f>
        <v>44377</v>
      </c>
      <c r="D48" s="188"/>
      <c r="E48" s="187"/>
      <c r="F48" s="186">
        <f>IF(OR($B$48&lt;$K18,$B$47&gt;$L18),0,(MIN($B$48,$L18)-MAX($B$47,$K18)+1))</f>
        <v>0</v>
      </c>
      <c r="G48" s="186">
        <f>ROUND(IF(ISERROR(F48/365),0,(F48/365))*12,0)</f>
        <v>0</v>
      </c>
      <c r="H48" s="185">
        <f>IF(OR($B$48&lt;$K18,$B$47&gt;$L18),0,M18)</f>
        <v>0</v>
      </c>
      <c r="I48" s="184">
        <f>(F48*$E$47)*H48</f>
        <v>0</v>
      </c>
      <c r="J48" s="183">
        <f>IF(ISERROR(I48/H48),0,(I48/H48))</f>
        <v>0</v>
      </c>
      <c r="K48" s="209"/>
    </row>
    <row r="49" spans="1:11" x14ac:dyDescent="0.25">
      <c r="C49" s="189"/>
      <c r="D49" s="188"/>
      <c r="E49" s="187"/>
      <c r="F49" s="186">
        <f>IF(OR($B$48&lt;$K19,$B$47&gt;$L19),0,(MIN($B$48,$L19)-MAX($B$47,$K19)+1))</f>
        <v>0</v>
      </c>
      <c r="G49" s="186">
        <f>ROUND(IF(ISERROR(F49/365),0,(F49/365))*12,0)</f>
        <v>0</v>
      </c>
      <c r="H49" s="185">
        <f>IF(OR($B$48&lt;$K19,$B$47&gt;$L19),0,M19)</f>
        <v>0</v>
      </c>
      <c r="I49" s="184">
        <f>(F49*$E$47)*H49</f>
        <v>0</v>
      </c>
      <c r="J49" s="183">
        <f>IF(ISERROR(I49/H49),0,(I49/H49))</f>
        <v>0</v>
      </c>
    </row>
    <row r="50" spans="1:11" x14ac:dyDescent="0.25">
      <c r="A50" s="190"/>
      <c r="C50" s="189"/>
      <c r="D50" s="188"/>
      <c r="E50" s="187"/>
      <c r="F50" s="186">
        <f>IF(OR($B$48&lt;$K20,$B$47&gt;$L20),0,(MIN($B$48,$L20)-MAX($B$47,$K20)+1))</f>
        <v>0</v>
      </c>
      <c r="G50" s="186">
        <f>ROUND(IF(ISERROR(F50/365),0,(F50/365))*12,0)</f>
        <v>0</v>
      </c>
      <c r="H50" s="185">
        <f>IF(OR($B$48&lt;$K20,$B$47&gt;$L20),0,M20)</f>
        <v>0</v>
      </c>
      <c r="I50" s="184">
        <f>(F50*$E$47)*H50</f>
        <v>0</v>
      </c>
      <c r="J50" s="183">
        <f>IF(ISERROR(I50/H50),0,(I50/H50))</f>
        <v>0</v>
      </c>
      <c r="K50" s="209"/>
    </row>
    <row r="51" spans="1:11" x14ac:dyDescent="0.25">
      <c r="B51" s="182"/>
      <c r="C51" s="181"/>
      <c r="D51" s="180"/>
      <c r="E51" s="179"/>
      <c r="F51" s="178">
        <f>IF(OR($B$48&lt;$K21,$B$47&gt;$L21),0,(MIN($B$48,$L21)-MAX($B$47,$K21)+1))</f>
        <v>365</v>
      </c>
      <c r="G51" s="178">
        <f>ROUND(IF(ISERROR(F51/365),0,(F51/365))*12,0)</f>
        <v>12</v>
      </c>
      <c r="H51" s="177">
        <f>IF(OR($B$48&lt;$K21,$B$47&gt;$L21),0,M21)</f>
        <v>0.54</v>
      </c>
      <c r="I51" s="176">
        <f>(F51*$E$47)*H51</f>
        <v>0</v>
      </c>
      <c r="J51" s="175">
        <f>IF(ISERROR(I51/H51),0,(I51/H51))</f>
        <v>0</v>
      </c>
    </row>
    <row r="52" spans="1:11" x14ac:dyDescent="0.25">
      <c r="B52" s="174" t="s">
        <v>177</v>
      </c>
      <c r="C52" s="173"/>
      <c r="D52" s="172">
        <f>SUM(D47:D51)</f>
        <v>0</v>
      </c>
      <c r="E52" s="171"/>
      <c r="F52" s="170">
        <f>SUM(F47:F51)</f>
        <v>365</v>
      </c>
      <c r="G52" s="169">
        <f>SUM(G47:G51)</f>
        <v>12</v>
      </c>
      <c r="H52" s="168">
        <f>AVERAGEIF(H47:H51,"&lt;&gt;0")</f>
        <v>0.54</v>
      </c>
      <c r="I52" s="167">
        <f>SUM(I47:I51)</f>
        <v>0</v>
      </c>
      <c r="J52" s="166">
        <f>SUM(J47:J51)</f>
        <v>0</v>
      </c>
    </row>
    <row r="53" spans="1:11" x14ac:dyDescent="0.25">
      <c r="F53" s="205"/>
    </row>
    <row r="54" spans="1:11" x14ac:dyDescent="0.25">
      <c r="F54" s="205"/>
    </row>
    <row r="55" spans="1:11" ht="13.8" thickBot="1" x14ac:dyDescent="0.3">
      <c r="A55" s="207" t="s">
        <v>193</v>
      </c>
      <c r="B55" s="203" t="s">
        <v>190</v>
      </c>
      <c r="C55" s="204" t="s">
        <v>188</v>
      </c>
      <c r="D55" s="206" t="s">
        <v>189</v>
      </c>
      <c r="E55" s="204" t="s">
        <v>188</v>
      </c>
      <c r="F55" s="205"/>
      <c r="G55" s="204" t="s">
        <v>188</v>
      </c>
      <c r="H55" s="190"/>
      <c r="I55" s="204" t="s">
        <v>188</v>
      </c>
      <c r="J55" s="204" t="s">
        <v>188</v>
      </c>
    </row>
    <row r="56" spans="1:11" ht="13.8" thickBot="1" x14ac:dyDescent="0.3">
      <c r="A56" s="190"/>
      <c r="B56" s="203" t="s">
        <v>187</v>
      </c>
      <c r="C56" s="200" t="s">
        <v>186</v>
      </c>
      <c r="D56" s="202" t="s">
        <v>185</v>
      </c>
      <c r="E56" s="201" t="s">
        <v>184</v>
      </c>
      <c r="F56" s="200" t="s">
        <v>183</v>
      </c>
      <c r="G56" s="200" t="s">
        <v>182</v>
      </c>
      <c r="H56" s="199" t="s">
        <v>176</v>
      </c>
      <c r="I56" s="199" t="s">
        <v>181</v>
      </c>
      <c r="J56" s="198" t="s">
        <v>180</v>
      </c>
      <c r="K56" s="208"/>
    </row>
    <row r="57" spans="1:11" ht="13.8" thickBot="1" x14ac:dyDescent="0.3">
      <c r="A57" s="197" t="s">
        <v>179</v>
      </c>
      <c r="B57" s="191">
        <f>Summary!P11</f>
        <v>44378</v>
      </c>
      <c r="C57" s="196">
        <f>ROUND(IF((B57=0),0,(B58-B57))/30,0)</f>
        <v>12</v>
      </c>
      <c r="D57" s="195">
        <f>Summary!Q100</f>
        <v>0</v>
      </c>
      <c r="E57" s="194">
        <f>IF(ISERROR(D57/F62),0,(D57/F62))</f>
        <v>0</v>
      </c>
      <c r="F57" s="193">
        <f>IF(OR($B$58&lt;$K17,$B$57&gt;$L17),0,(MIN($B$58,$L17)-MAX($B$57,$K17)+1))</f>
        <v>0</v>
      </c>
      <c r="G57" s="186">
        <f>ROUND(IF(ISERROR(F57/365),0,(F57/365))*12,0)</f>
        <v>0</v>
      </c>
      <c r="H57" s="185">
        <f>IF(OR($B$58&lt;$K17,$B$57&gt;$L17),0,M17)</f>
        <v>0</v>
      </c>
      <c r="I57" s="184">
        <f>(F57*$E$57)*H57</f>
        <v>0</v>
      </c>
      <c r="J57" s="183">
        <f>IF(ISERROR(I57/H57),0,(I57/H57))</f>
        <v>0</v>
      </c>
    </row>
    <row r="58" spans="1:11" ht="13.8" thickBot="1" x14ac:dyDescent="0.3">
      <c r="A58" s="192" t="s">
        <v>178</v>
      </c>
      <c r="B58" s="191">
        <f>Summary!Q11</f>
        <v>44742</v>
      </c>
      <c r="D58" s="188"/>
      <c r="E58" s="187"/>
      <c r="F58" s="186">
        <f>IF(OR($B$58&lt;$K18,$B$57&gt;$L18),0,(MIN($B$58,$L18)-MAX($B$57,$K18)+1))</f>
        <v>0</v>
      </c>
      <c r="G58" s="186">
        <f>ROUND(IF(ISERROR(F58/365),0,(F58/365))*12,0)</f>
        <v>0</v>
      </c>
      <c r="H58" s="185">
        <f>IF(OR($B$58&lt;$K18,$B$57&gt;$L18),0,M18)</f>
        <v>0</v>
      </c>
      <c r="I58" s="184">
        <f>(F58*$E$57)*H58</f>
        <v>0</v>
      </c>
      <c r="J58" s="183">
        <f>IF(ISERROR(I58/H58),0,(I58/H58))</f>
        <v>0</v>
      </c>
    </row>
    <row r="59" spans="1:11" x14ac:dyDescent="0.25">
      <c r="C59" s="189"/>
      <c r="D59" s="188"/>
      <c r="E59" s="187"/>
      <c r="F59" s="186">
        <f>IF(OR($B$58&lt;$K19,$B$57&gt;$L19),0,(MIN($B$58,$L19)-MAX($B$57,$K19)+1))</f>
        <v>0</v>
      </c>
      <c r="G59" s="186">
        <f>ROUND(IF(ISERROR(F59/365),0,(F59/365))*12,0)</f>
        <v>0</v>
      </c>
      <c r="H59" s="185">
        <f>IF(OR($B$58&lt;$K19,$B$57&gt;$L19),0,M19)</f>
        <v>0</v>
      </c>
      <c r="I59" s="184">
        <f>(F59*$E$57)*H59</f>
        <v>0</v>
      </c>
      <c r="J59" s="183">
        <f>IF(ISERROR(I59/H59),0,(I59/H59))</f>
        <v>0</v>
      </c>
    </row>
    <row r="60" spans="1:11" x14ac:dyDescent="0.25">
      <c r="A60" s="190"/>
      <c r="C60" s="189"/>
      <c r="D60" s="188"/>
      <c r="E60" s="187"/>
      <c r="F60" s="186">
        <f>IF(OR($B$58&lt;$K20,$B$57&gt;$L20),0,(MIN($B$58,$L20)-MAX($B$57,$K20)+1))</f>
        <v>0</v>
      </c>
      <c r="G60" s="186">
        <f>ROUND(IF(ISERROR(F60/365),0,(F60/365))*12,0)</f>
        <v>0</v>
      </c>
      <c r="H60" s="185">
        <f>IF(OR($B$58&lt;$K20,$B$57&gt;$L20),0,M20)</f>
        <v>0</v>
      </c>
      <c r="I60" s="184">
        <f>(F60*$E$57)*H60</f>
        <v>0</v>
      </c>
      <c r="J60" s="183">
        <f>IF(ISERROR(I60/H60),0,(I60/H60))</f>
        <v>0</v>
      </c>
    </row>
    <row r="61" spans="1:11" x14ac:dyDescent="0.25">
      <c r="B61" s="182"/>
      <c r="C61" s="181"/>
      <c r="D61" s="180"/>
      <c r="E61" s="179"/>
      <c r="F61" s="178">
        <f>IF(OR($B$58&lt;$K21,$B$57&gt;$L21),0,(MIN($B$58,$L21)-MAX($B$57,$K21)+1))</f>
        <v>365</v>
      </c>
      <c r="G61" s="178">
        <f>ROUND(IF(ISERROR(F61/365),0,(F61/365))*12,0)</f>
        <v>12</v>
      </c>
      <c r="H61" s="177">
        <f>IF(OR($B$58&lt;$K21,$B$57&gt;$L21),0,M21)</f>
        <v>0.54</v>
      </c>
      <c r="I61" s="176">
        <f>(F61*$E$57)*H61</f>
        <v>0</v>
      </c>
      <c r="J61" s="175">
        <f>IF(ISERROR(I61/H61),0,(I61/H61))</f>
        <v>0</v>
      </c>
    </row>
    <row r="62" spans="1:11" x14ac:dyDescent="0.25">
      <c r="B62" s="174" t="s">
        <v>177</v>
      </c>
      <c r="C62" s="173"/>
      <c r="D62" s="172">
        <f>SUM(D57:D61)</f>
        <v>0</v>
      </c>
      <c r="E62" s="171"/>
      <c r="F62" s="170">
        <f>SUM(F57:F61)</f>
        <v>365</v>
      </c>
      <c r="G62" s="169">
        <f>SUM(G57:G61)</f>
        <v>12</v>
      </c>
      <c r="H62" s="168">
        <f>AVERAGEIF(H57:H61,"&lt;&gt;0")</f>
        <v>0.54</v>
      </c>
      <c r="I62" s="167">
        <f>SUM(I57:I61)</f>
        <v>0</v>
      </c>
      <c r="J62" s="166">
        <f>SUM(J57:J61)</f>
        <v>0</v>
      </c>
    </row>
    <row r="63" spans="1:11" x14ac:dyDescent="0.25">
      <c r="F63" s="205"/>
    </row>
    <row r="64" spans="1:11" x14ac:dyDescent="0.25">
      <c r="F64" s="205"/>
    </row>
    <row r="65" spans="1:10" ht="13.8" thickBot="1" x14ac:dyDescent="0.3">
      <c r="A65" s="207" t="s">
        <v>192</v>
      </c>
      <c r="B65" s="203" t="s">
        <v>190</v>
      </c>
      <c r="C65" s="204" t="s">
        <v>188</v>
      </c>
      <c r="D65" s="206" t="s">
        <v>189</v>
      </c>
      <c r="E65" s="204" t="s">
        <v>188</v>
      </c>
      <c r="F65" s="205"/>
      <c r="G65" s="204" t="s">
        <v>188</v>
      </c>
      <c r="H65" s="190"/>
      <c r="I65" s="204" t="s">
        <v>188</v>
      </c>
      <c r="J65" s="204" t="s">
        <v>188</v>
      </c>
    </row>
    <row r="66" spans="1:10" ht="13.8" thickBot="1" x14ac:dyDescent="0.3">
      <c r="A66" s="190"/>
      <c r="B66" s="203" t="s">
        <v>187</v>
      </c>
      <c r="C66" s="200" t="s">
        <v>186</v>
      </c>
      <c r="D66" s="202" t="s">
        <v>185</v>
      </c>
      <c r="E66" s="201" t="s">
        <v>184</v>
      </c>
      <c r="F66" s="200" t="s">
        <v>183</v>
      </c>
      <c r="G66" s="200" t="s">
        <v>182</v>
      </c>
      <c r="H66" s="199" t="s">
        <v>176</v>
      </c>
      <c r="I66" s="199" t="s">
        <v>181</v>
      </c>
      <c r="J66" s="198" t="s">
        <v>180</v>
      </c>
    </row>
    <row r="67" spans="1:10" ht="13.8" thickBot="1" x14ac:dyDescent="0.3">
      <c r="A67" s="197" t="s">
        <v>179</v>
      </c>
      <c r="B67" s="191"/>
      <c r="C67" s="196">
        <f>ROUND(IF((B67=0),0,(B68-B67))/30,0)</f>
        <v>0</v>
      </c>
      <c r="D67" s="195">
        <v>0</v>
      </c>
      <c r="E67" s="194">
        <f>IF(ISERROR(D67/F72),0,(D67/F72))</f>
        <v>0</v>
      </c>
      <c r="F67" s="193">
        <f>IF(OR($B$68&lt;$K17,$B$67&gt;$L17),0,(MIN($B$68,$L17)-MAX($B$67,$K17)+1))</f>
        <v>0</v>
      </c>
      <c r="G67" s="186">
        <f>ROUND(IF(ISERROR(F67/365),0,(F67/365))*12,0)</f>
        <v>0</v>
      </c>
      <c r="H67" s="185">
        <f>IF(OR($B$68&lt;$K17,$B$67&gt;$L17),0,M17)</f>
        <v>0</v>
      </c>
      <c r="I67" s="184">
        <f>(F67*$E$67)*H67</f>
        <v>0</v>
      </c>
      <c r="J67" s="183">
        <f>IF(ISERROR(I67/H67),0,(I67/H67))</f>
        <v>0</v>
      </c>
    </row>
    <row r="68" spans="1:10" ht="13.8" thickBot="1" x14ac:dyDescent="0.3">
      <c r="A68" s="192" t="s">
        <v>178</v>
      </c>
      <c r="B68" s="191"/>
      <c r="D68" s="188"/>
      <c r="E68" s="187"/>
      <c r="F68" s="186">
        <f>IF(OR($B$68&lt;$K18,$B$67&gt;$L18),0,(MIN($B$68,$L18)-MAX($B$67,$K18)+1))</f>
        <v>0</v>
      </c>
      <c r="G68" s="186">
        <f>ROUND(IF(ISERROR(F68/365),0,(F68/365))*12,0)</f>
        <v>0</v>
      </c>
      <c r="H68" s="185">
        <f>IF(OR($B$68&lt;$K18,$B$67&gt;$L18),0,M18)</f>
        <v>0</v>
      </c>
      <c r="I68" s="184">
        <f>(F68*$E$67)*H68</f>
        <v>0</v>
      </c>
      <c r="J68" s="183">
        <f>IF(ISERROR(I68/H68),0,(I68/H68))</f>
        <v>0</v>
      </c>
    </row>
    <row r="69" spans="1:10" x14ac:dyDescent="0.25">
      <c r="C69" s="189"/>
      <c r="D69" s="188"/>
      <c r="E69" s="187"/>
      <c r="F69" s="186">
        <f>IF(OR($B$68&lt;$K19,$B$67&gt;$L19),0,(MIN($B$68,$L19)-MAX($B$67,$K19)+1))</f>
        <v>0</v>
      </c>
      <c r="G69" s="186">
        <f>ROUND(IF(ISERROR(F69/365),0,(F69/365))*12,0)</f>
        <v>0</v>
      </c>
      <c r="H69" s="185">
        <f>IF(OR($B$68&lt;$K19,$B$67&gt;$L19),0,M19)</f>
        <v>0</v>
      </c>
      <c r="I69" s="184">
        <f>(F69*$E$67)*H69</f>
        <v>0</v>
      </c>
      <c r="J69" s="183">
        <f>IF(ISERROR(I69/H69),0,(I69/H69))</f>
        <v>0</v>
      </c>
    </row>
    <row r="70" spans="1:10" x14ac:dyDescent="0.25">
      <c r="A70" s="190"/>
      <c r="C70" s="189"/>
      <c r="D70" s="188"/>
      <c r="E70" s="187"/>
      <c r="F70" s="186">
        <f>IF(OR($B$68&lt;$K20,$B$67&gt;$L20),0,(MIN($B$68,$L20)-MAX($B$67,$K20)+1))</f>
        <v>0</v>
      </c>
      <c r="G70" s="186">
        <f>ROUND(IF(ISERROR(F70/365),0,(F70/365))*12,0)</f>
        <v>0</v>
      </c>
      <c r="H70" s="185">
        <f>IF(OR($B$68&lt;$K20,$B$67&gt;$L20),0,M20)</f>
        <v>0</v>
      </c>
      <c r="I70" s="184">
        <f>(F70*$E$67)*H70</f>
        <v>0</v>
      </c>
      <c r="J70" s="183">
        <f>IF(ISERROR(I70/H70),0,(I70/H70))</f>
        <v>0</v>
      </c>
    </row>
    <row r="71" spans="1:10" x14ac:dyDescent="0.25">
      <c r="B71" s="182"/>
      <c r="C71" s="181"/>
      <c r="D71" s="180"/>
      <c r="E71" s="179"/>
      <c r="F71" s="178">
        <f>IF(OR($B$68&lt;$K21,$B$67&gt;$L21),0,(MIN($B$68,$L21)-MAX($B$67,$K21)+1))</f>
        <v>0</v>
      </c>
      <c r="G71" s="178">
        <f>ROUND(IF(ISERROR(F71/365),0,(F71/365))*12,0)</f>
        <v>0</v>
      </c>
      <c r="H71" s="177">
        <f>IF(OR($B$68&lt;$K21,$B$67&gt;$L21),0,M21)</f>
        <v>0</v>
      </c>
      <c r="I71" s="176">
        <f>(F71*$E$67)*H71</f>
        <v>0</v>
      </c>
      <c r="J71" s="175">
        <f>IF(ISERROR(I71/H71),0,(I71/H71))</f>
        <v>0</v>
      </c>
    </row>
    <row r="72" spans="1:10" x14ac:dyDescent="0.25">
      <c r="B72" s="174" t="s">
        <v>177</v>
      </c>
      <c r="C72" s="173"/>
      <c r="D72" s="172">
        <f>SUM(D67:D71)</f>
        <v>0</v>
      </c>
      <c r="E72" s="171"/>
      <c r="F72" s="170">
        <f>SUM(F67:F71)</f>
        <v>0</v>
      </c>
      <c r="G72" s="169">
        <f>SUM(G67:G71)</f>
        <v>0</v>
      </c>
      <c r="H72" s="168" t="e">
        <f>AVERAGEIF(H67:H71,"&lt;&gt;0")</f>
        <v>#DIV/0!</v>
      </c>
      <c r="I72" s="167">
        <f>SUM(I67:I71)</f>
        <v>0</v>
      </c>
      <c r="J72" s="166">
        <f>SUM(J67:J71)</f>
        <v>0</v>
      </c>
    </row>
    <row r="73" spans="1:10" x14ac:dyDescent="0.25">
      <c r="F73" s="205"/>
    </row>
    <row r="74" spans="1:10" x14ac:dyDescent="0.25">
      <c r="F74" s="205"/>
    </row>
    <row r="75" spans="1:10" ht="13.8" thickBot="1" x14ac:dyDescent="0.3">
      <c r="A75" s="207" t="s">
        <v>191</v>
      </c>
      <c r="B75" s="203" t="s">
        <v>190</v>
      </c>
      <c r="C75" s="204" t="s">
        <v>188</v>
      </c>
      <c r="D75" s="206" t="s">
        <v>189</v>
      </c>
      <c r="E75" s="204" t="s">
        <v>188</v>
      </c>
      <c r="F75" s="205"/>
      <c r="G75" s="204" t="s">
        <v>188</v>
      </c>
      <c r="H75" s="190"/>
      <c r="I75" s="204" t="s">
        <v>188</v>
      </c>
      <c r="J75" s="204" t="s">
        <v>188</v>
      </c>
    </row>
    <row r="76" spans="1:10" ht="13.8" thickBot="1" x14ac:dyDescent="0.3">
      <c r="A76" s="190"/>
      <c r="B76" s="203" t="s">
        <v>187</v>
      </c>
      <c r="C76" s="200" t="s">
        <v>186</v>
      </c>
      <c r="D76" s="202" t="s">
        <v>185</v>
      </c>
      <c r="E76" s="201" t="s">
        <v>184</v>
      </c>
      <c r="F76" s="200" t="s">
        <v>183</v>
      </c>
      <c r="G76" s="200" t="s">
        <v>182</v>
      </c>
      <c r="H76" s="199" t="s">
        <v>176</v>
      </c>
      <c r="I76" s="199" t="s">
        <v>181</v>
      </c>
      <c r="J76" s="198" t="s">
        <v>180</v>
      </c>
    </row>
    <row r="77" spans="1:10" ht="13.8" thickBot="1" x14ac:dyDescent="0.3">
      <c r="A77" s="197" t="s">
        <v>179</v>
      </c>
      <c r="B77" s="191"/>
      <c r="C77" s="196">
        <f>ROUND(IF((B77=0),0,(B78-B77))/30,0)</f>
        <v>0</v>
      </c>
      <c r="D77" s="195">
        <v>0</v>
      </c>
      <c r="E77" s="194">
        <f>IF(ISERROR(D77/F82),0,(D77/F82))</f>
        <v>0</v>
      </c>
      <c r="F77" s="193">
        <f>IF(OR($B$78&lt;$K17,$B$77&gt;$L17),0,(MIN($B$78,$L17)-MAX($B$77,$K17)+1))</f>
        <v>0</v>
      </c>
      <c r="G77" s="186">
        <f>ROUND(IF(ISERROR(F77/365),0,(F77/365))*12,0)</f>
        <v>0</v>
      </c>
      <c r="H77" s="185">
        <f>IF(OR($B$78&lt;$K17,$B$77&gt;$L17),0,M17)</f>
        <v>0</v>
      </c>
      <c r="I77" s="184">
        <f>(F77*$E$77)*H77</f>
        <v>0</v>
      </c>
      <c r="J77" s="183">
        <f>IF(ISERROR(I77/H77),0,(I77/H77))</f>
        <v>0</v>
      </c>
    </row>
    <row r="78" spans="1:10" ht="13.8" thickBot="1" x14ac:dyDescent="0.3">
      <c r="A78" s="192" t="s">
        <v>178</v>
      </c>
      <c r="B78" s="191"/>
      <c r="D78" s="188"/>
      <c r="E78" s="187"/>
      <c r="F78" s="186">
        <f>IF(OR($B$78&lt;$K18,$B$77&gt;$L18),0,(MIN($B$78,$L18)-MAX($B$77,$K18)+1))</f>
        <v>0</v>
      </c>
      <c r="G78" s="186">
        <f>ROUND(IF(ISERROR(F78/365),0,(F78/365))*12,0)</f>
        <v>0</v>
      </c>
      <c r="H78" s="185">
        <f>IF(OR($B$78&lt;$K18,$B$77&gt;$L18),0,M18)</f>
        <v>0</v>
      </c>
      <c r="I78" s="184">
        <f>(F78*$E$77)*H78</f>
        <v>0</v>
      </c>
      <c r="J78" s="183">
        <f>IF(ISERROR(I78/H78),0,(I78/H78))</f>
        <v>0</v>
      </c>
    </row>
    <row r="79" spans="1:10" x14ac:dyDescent="0.25">
      <c r="C79" s="189"/>
      <c r="D79" s="188"/>
      <c r="E79" s="187"/>
      <c r="F79" s="186">
        <f>IF(OR($B$78&lt;$K19,$B$77&gt;$L19),0,(MIN($B$78,$L19)-MAX($B$77,$K19)+1))</f>
        <v>0</v>
      </c>
      <c r="G79" s="186">
        <f>ROUND(IF(ISERROR(F79/365),0,(F79/365))*12,0)</f>
        <v>0</v>
      </c>
      <c r="H79" s="185">
        <f>IF(OR($B$78&lt;$K19,$B$77&gt;$L19),0,M19)</f>
        <v>0</v>
      </c>
      <c r="I79" s="184">
        <f>(F79*$E$77)*H79</f>
        <v>0</v>
      </c>
      <c r="J79" s="183">
        <f>IF(ISERROR(I79/H79),0,(I79/H79))</f>
        <v>0</v>
      </c>
    </row>
    <row r="80" spans="1:10" x14ac:dyDescent="0.25">
      <c r="A80" s="190"/>
      <c r="C80" s="189"/>
      <c r="D80" s="188"/>
      <c r="E80" s="187"/>
      <c r="F80" s="186">
        <f>IF(OR($B$78&lt;$K20,$B$77&gt;$L20),0,(MIN($B$78,$L20)-MAX($B$77,$K20)+1))</f>
        <v>0</v>
      </c>
      <c r="G80" s="186">
        <f>ROUND(IF(ISERROR(F80/365),0,(F80/365))*12,0)</f>
        <v>0</v>
      </c>
      <c r="H80" s="185">
        <f>IF(OR($B$78&lt;$K20,$B$77&gt;$L20),0,M20)</f>
        <v>0</v>
      </c>
      <c r="I80" s="184">
        <f>(F80*$E$77)*H80</f>
        <v>0</v>
      </c>
      <c r="J80" s="183">
        <f>IF(ISERROR(I80/H80),0,(I80/H80))</f>
        <v>0</v>
      </c>
    </row>
    <row r="81" spans="2:10" x14ac:dyDescent="0.25">
      <c r="B81" s="182"/>
      <c r="C81" s="181"/>
      <c r="D81" s="180"/>
      <c r="E81" s="179"/>
      <c r="F81" s="178">
        <f>IF(OR($B$78&lt;$K21,$B$77&gt;$L21),0,(MIN($B$78,$L21)-MAX($B$77,$K21)+1))</f>
        <v>0</v>
      </c>
      <c r="G81" s="178">
        <f>ROUND(IF(ISERROR(F81/365),0,(F81/365))*12,0)</f>
        <v>0</v>
      </c>
      <c r="H81" s="177">
        <f>IF(OR($B$78&lt;$K21,$B$77&gt;$L21),0,M21)</f>
        <v>0</v>
      </c>
      <c r="I81" s="176">
        <f>(F81*$E$77)*H81</f>
        <v>0</v>
      </c>
      <c r="J81" s="175">
        <f>IF(ISERROR(I81/H81),0,(I81/H81))</f>
        <v>0</v>
      </c>
    </row>
    <row r="82" spans="2:10" x14ac:dyDescent="0.25">
      <c r="B82" s="174" t="s">
        <v>177</v>
      </c>
      <c r="C82" s="173"/>
      <c r="D82" s="172">
        <f>SUM(D77:D81)</f>
        <v>0</v>
      </c>
      <c r="E82" s="171"/>
      <c r="F82" s="170">
        <f>SUM(F77:F81)</f>
        <v>0</v>
      </c>
      <c r="G82" s="169">
        <f>SUM(G77:G81)</f>
        <v>0</v>
      </c>
      <c r="H82" s="168" t="e">
        <f>AVERAGEIF(H77:H81,"&lt;&gt;0")</f>
        <v>#DIV/0!</v>
      </c>
      <c r="I82" s="167">
        <f>SUM(I77:I81)</f>
        <v>0</v>
      </c>
      <c r="J82" s="166">
        <f>SUM(J77:J81)</f>
        <v>0</v>
      </c>
    </row>
  </sheetData>
  <sheetProtection selectLockedCells="1"/>
  <dataValidations count="10">
    <dataValidation type="custom" operator="greaterThan" allowBlank="1" showInputMessage="1" showErrorMessage="1" errorTitle="MTDC Amount" error="This amount must be greater than 0." promptTitle="MTDC" prompt="Enter the Modified Total Direct Cost amount (the amount that is eligible for F&amp;A)." sqref="D37">
      <formula1>IF(C57=0,D57=0,D57&gt;0)</formula1>
    </dataValidation>
    <dataValidation type="custom" operator="greaterThan" allowBlank="1" showInputMessage="1" showErrorMessage="1" errorTitle="MTDC Amount" error="This amount must be greater than 0." promptTitle="MTDC" prompt="Enter the Modified Total Direct Cost amount (the amount that is eligible for F&amp;A)." sqref="D47">
      <formula1>IF(C57=0,D57=0,D57&gt;0)</formula1>
    </dataValidation>
    <dataValidation type="custom" operator="greaterThan" allowBlank="1" showInputMessage="1" showErrorMessage="1" errorTitle="MTDC Amount" error="This amount must be greater than 0." promptTitle="MTDC" prompt="Enter the Modified Total Direct Cost amount (the amount that is eligible for F&amp;A)." sqref="D77">
      <formula1>IF(C57=0,D57=0,D57&gt;0)</formula1>
    </dataValidation>
    <dataValidation type="custom" operator="greaterThan" allowBlank="1" showInputMessage="1" showErrorMessage="1" errorTitle="MTDC Amount" error="This amount must be greater than 0." promptTitle="MTDC" prompt="Enter the Modified Total Direct Cost amount (the amount that is eligible for F&amp;A)." sqref="D67">
      <formula1>IF(C57=0,D57=0,D57&gt;0)</formula1>
    </dataValidation>
    <dataValidation type="custom" operator="greaterThan" allowBlank="1" showInputMessage="1" showErrorMessage="1" errorTitle="MTDC Amount" error="This amount must be greater than 0." promptTitle="MTDC" prompt="Enter the Modified Total Direct Cost amount (the amount that is eligible for F&amp;A)." sqref="D57">
      <formula1>IF(C57=0,D57=0,D57&gt;0)</formula1>
    </dataValidation>
    <dataValidation type="date" allowBlank="1" showInputMessage="1" showErrorMessage="1" errorTitle="Project Start Date" error="The Project Start date must be less than or equal to the Project End Date." sqref="B17">
      <formula1>40179</formula1>
      <formula2>47848</formula2>
    </dataValidation>
    <dataValidation type="custom" operator="greaterThanOrEqual" allowBlank="1" showInputMessage="1" showErrorMessage="1" errorTitle="MTDC Amount" error="This amount must be greater than 0." promptTitle="MTDC" prompt="Enter the Modified Total Direct Cost amount (the amount that is eligible for F&amp;A)." sqref="D27">
      <formula1>IF(C57=0,D57=0,D57&gt;0)</formula1>
    </dataValidation>
    <dataValidation type="custom" operator="greaterThan" allowBlank="1" showInputMessage="1" showErrorMessage="1" errorTitle="MTDC Amount" error="This amount must be greater than 0." promptTitle="MTDC" prompt="Enter the Modified Total Direct Cost amount (the amount that is eligible for F&amp;A)." sqref="D17">
      <formula1>IF(C57=0,D57=0,D57&gt;0)</formula1>
    </dataValidation>
    <dataValidation type="date" operator="greaterThanOrEqual" showErrorMessage="1" errorTitle="End Date" error="This date must be greater than or equal to the Project Start Date." promptTitle="Enter End Date" prompt="Date should be either the AWARD End Date or the PROJECT budget period End Date." sqref="B18 B28 B38 B48 B58 B68 B78">
      <formula1>B17</formula1>
    </dataValidation>
    <dataValidation type="date" allowBlank="1" showInputMessage="1" showErrorMessage="1" errorTitle="Project Start Date" error="The Project Start date must be less than or equal to the Project End Date." sqref="B47 B27 B57 B67 B77 B37">
      <formula1>41275</formula1>
      <formula2>47848</formula2>
    </dataValidation>
  </dataValidations>
  <pageMargins left="0.7" right="0.7" top="0.75" bottom="0.75" header="0.3" footer="0.3"/>
  <pageSetup paperSiz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  <pageSetUpPr fitToPage="1"/>
  </sheetPr>
  <dimension ref="A1:T207"/>
  <sheetViews>
    <sheetView showZeros="0" zoomScale="106" zoomScaleNormal="106" zoomScaleSheetLayoutView="70" zoomScalePageLayoutView="85" workbookViewId="0">
      <pane xSplit="9" ySplit="4" topLeftCell="J5" activePane="bottomRight" state="frozen"/>
      <selection activeCell="A12" sqref="A12"/>
      <selection pane="topRight" activeCell="A12" sqref="A12"/>
      <selection pane="bottomLeft" activeCell="A12" sqref="A12"/>
      <selection pane="bottomRight" activeCell="K31" sqref="K31"/>
    </sheetView>
  </sheetViews>
  <sheetFormatPr defaultColWidth="9.109375" defaultRowHeight="13.2" x14ac:dyDescent="0.25"/>
  <cols>
    <col min="1" max="1" width="9.109375" style="155"/>
    <col min="2" max="2" width="1.6640625" style="155" customWidth="1"/>
    <col min="3" max="3" width="9.109375" style="155"/>
    <col min="4" max="4" width="1.6640625" style="155" customWidth="1"/>
    <col min="5" max="8" width="9.109375" style="155"/>
    <col min="9" max="9" width="16.33203125" style="155" customWidth="1"/>
    <col min="10" max="10" width="2.6640625" style="155" customWidth="1"/>
    <col min="11" max="11" width="12.33203125" style="155" customWidth="1"/>
    <col min="12" max="12" width="2.6640625" style="155" customWidth="1"/>
    <col min="13" max="13" width="12.33203125" style="155" customWidth="1"/>
    <col min="14" max="14" width="2.6640625" style="155" customWidth="1"/>
    <col min="15" max="15" width="12.33203125" style="155" customWidth="1"/>
    <col min="16" max="16" width="2.6640625" style="155" customWidth="1"/>
    <col min="17" max="17" width="12.33203125" style="155" customWidth="1"/>
    <col min="18" max="18" width="2.6640625" style="155" customWidth="1"/>
    <col min="19" max="19" width="12.33203125" style="155" customWidth="1"/>
    <col min="20" max="16384" width="9.109375" style="155"/>
  </cols>
  <sheetData>
    <row r="1" spans="1:19" s="156" customFormat="1" ht="15.6" x14ac:dyDescent="0.3">
      <c r="C1" s="7" t="s">
        <v>82</v>
      </c>
      <c r="K1" s="4" t="s">
        <v>5</v>
      </c>
      <c r="M1" s="4" t="s">
        <v>44</v>
      </c>
      <c r="O1" s="4" t="s">
        <v>50</v>
      </c>
      <c r="Q1" s="4" t="s">
        <v>49</v>
      </c>
      <c r="S1" s="4" t="s">
        <v>48</v>
      </c>
    </row>
    <row r="2" spans="1:19" s="257" customFormat="1" x14ac:dyDescent="0.25">
      <c r="C2" s="8"/>
      <c r="K2" s="3"/>
      <c r="M2" s="3"/>
      <c r="O2" s="3"/>
      <c r="Q2" s="3"/>
      <c r="S2" s="3"/>
    </row>
    <row r="3" spans="1:19" s="258" customFormat="1" ht="26.4" x14ac:dyDescent="0.25">
      <c r="C3" s="351"/>
      <c r="D3" s="351"/>
      <c r="E3" s="351"/>
      <c r="F3" s="351"/>
      <c r="G3" s="351"/>
      <c r="H3" s="351"/>
      <c r="I3" s="351"/>
      <c r="K3" s="258" t="s">
        <v>57</v>
      </c>
      <c r="M3" s="258" t="s">
        <v>57</v>
      </c>
      <c r="O3" s="258" t="s">
        <v>57</v>
      </c>
      <c r="Q3" s="258" t="s">
        <v>57</v>
      </c>
      <c r="S3" s="258" t="s">
        <v>57</v>
      </c>
    </row>
    <row r="4" spans="1:19" s="156" customFormat="1" ht="6" customHeight="1" x14ac:dyDescent="0.25"/>
    <row r="5" spans="1:19" s="156" customFormat="1" ht="6" customHeight="1" x14ac:dyDescent="0.25">
      <c r="C5" s="259"/>
      <c r="D5" s="259"/>
      <c r="E5" s="259"/>
      <c r="F5" s="259"/>
      <c r="G5" s="259"/>
      <c r="H5" s="259"/>
      <c r="I5" s="259"/>
      <c r="K5" s="157"/>
      <c r="M5" s="157"/>
      <c r="O5" s="157"/>
      <c r="Q5" s="157"/>
      <c r="S5" s="157"/>
    </row>
    <row r="6" spans="1:19" s="156" customFormat="1" ht="30" customHeight="1" x14ac:dyDescent="0.3">
      <c r="A6" s="260">
        <v>8</v>
      </c>
      <c r="C6" s="350" t="s">
        <v>159</v>
      </c>
      <c r="D6" s="350"/>
      <c r="E6" s="350"/>
      <c r="F6" s="350"/>
      <c r="G6" s="10" t="s">
        <v>51</v>
      </c>
      <c r="H6" s="259"/>
      <c r="I6" s="261" t="s">
        <v>52</v>
      </c>
      <c r="K6" s="157">
        <f>ROUND(IF(I6="1/2-time",K7,K8),0)</f>
        <v>0</v>
      </c>
      <c r="M6" s="157">
        <f>ROUND(IF(I6="1/2-time",M7,M8),0)</f>
        <v>0</v>
      </c>
      <c r="O6" s="157">
        <f>ROUND(IF(I6="1/2-time",O7,O8),0)</f>
        <v>0</v>
      </c>
      <c r="Q6" s="157">
        <f>ROUND(IF(I6="1/2-time",Q7,Q8),0)</f>
        <v>0</v>
      </c>
      <c r="S6" s="157">
        <f>ROUND(IF(I6="1/2-time",S7,S8),0)</f>
        <v>0</v>
      </c>
    </row>
    <row r="7" spans="1:19" s="156" customFormat="1" ht="15" hidden="1" x14ac:dyDescent="0.25">
      <c r="A7" s="156">
        <v>8</v>
      </c>
      <c r="C7" s="341" t="s">
        <v>53</v>
      </c>
      <c r="D7" s="341"/>
      <c r="E7" s="341"/>
      <c r="F7" s="341"/>
      <c r="G7" s="259"/>
      <c r="H7" s="259"/>
      <c r="I7" s="259" t="s">
        <v>54</v>
      </c>
      <c r="K7" s="157">
        <f>+C13*VLOOKUP(K13,$I$91:$Q$117,5,FALSE)+C15*VLOOKUP(K15,$I$91:$Q$117,5,FALSE)+C17*VLOOKUP(K17,$I$91:$Q$117,5,FALSE)+C19*VLOOKUP(K19,$I$91:$Q$117,9,FALSE)+C21*VLOOKUP(K21,$I$91:$Q$117,9,FALSE)+C23*VLOOKUP(K23,$I$91:$Q$117,9,FALSE)</f>
        <v>0</v>
      </c>
      <c r="M7" s="157">
        <f>+E13*VLOOKUP(M13,$I$91:$Q$117,5,FALSE)+E15*VLOOKUP(M15,$I$91:$Q$117,5,FALSE)+E17*VLOOKUP(M17,$I$91:$Q$117,5,FALSE)+E19*VLOOKUP(M19,$I$91:$Q$117,9,FALSE)+E21*VLOOKUP(M21,$I$91:$Q$117,9,FALSE)+E23*VLOOKUP(M23,$I$91:$Q$117,9,FALSE)</f>
        <v>0</v>
      </c>
      <c r="O7" s="157">
        <f>+F13*VLOOKUP(O13,$I$91:$Q$117,5,FALSE)+F15*VLOOKUP(O15,$I$91:$Q$117,5,FALSE)+F17*VLOOKUP(O17,$I$91:$Q$117,5,FALSE)+F19*VLOOKUP(O19,$I$91:$Q$117,9,FALSE)+F21*VLOOKUP(O21,$I$91:$Q$117,9,FALSE)+F23*VLOOKUP(O23,$I$91:$Q$117,9,FALSE)</f>
        <v>0</v>
      </c>
      <c r="Q7" s="157">
        <f>+G13*VLOOKUP(Q13,$I$91:$Q$117,5,FALSE)+G15*VLOOKUP(Q15,$I$91:$Q$117,5,FALSE)+G17*VLOOKUP(Q17,$I$91:$Q$117,5,FALSE)+G19*VLOOKUP(Q19,$I$91:$Q$117,9,FALSE)+G21*VLOOKUP(Q21,$I$91:$Q$117,9,FALSE)+G23*VLOOKUP(Q23,$I$91:$Q$117,9,FALSE)</f>
        <v>0</v>
      </c>
      <c r="S7" s="157">
        <f>+H13*VLOOKUP(S13,$I$91:$Q$117,5,FALSE)+H15*VLOOKUP(S15,$I$91:$Q$117,5,FALSE)+H17*VLOOKUP(S17,$I$91:$Q$117,5,FALSE)+H19*VLOOKUP(S19,$I$91:$Q$117,9,FALSE)+H21*VLOOKUP(S21,$I$91:$Q$117,9,FALSE)+H23*VLOOKUP(S23,$I$91:$Q$117,9,FALSE)</f>
        <v>0</v>
      </c>
    </row>
    <row r="8" spans="1:19" s="156" customFormat="1" ht="15" hidden="1" x14ac:dyDescent="0.25">
      <c r="A8" s="156">
        <v>8</v>
      </c>
      <c r="C8" s="341" t="s">
        <v>53</v>
      </c>
      <c r="D8" s="341"/>
      <c r="E8" s="341"/>
      <c r="F8" s="341"/>
      <c r="G8" s="259"/>
      <c r="H8" s="259"/>
      <c r="I8" s="259" t="s">
        <v>55</v>
      </c>
      <c r="K8" s="157">
        <f>+C13*VLOOKUP(K13,$I$91:$Q$117,3,FALSE)+C15*VLOOKUP(K15,$I$91:$Q$117,3,FALSE)+C17*VLOOKUP(K17,$I$91:$Q$117,3,FALSE)+C19*VLOOKUP(K19,$I$91:$Q$117,7,FALSE)+C21*VLOOKUP(K21,$I$91:$Q$117,7,FALSE)+C23*VLOOKUP(K23,$I$91:$Q$117,7,FALSE)</f>
        <v>0</v>
      </c>
      <c r="M8" s="157">
        <f>+E13*VLOOKUP(M13,$I$91:$Q$117,3,FALSE)+E15*VLOOKUP(M15,$I$91:$Q$117,3,FALSE)+E17*VLOOKUP(M17,$I$91:$Q$117,3,FALSE)+E19*VLOOKUP(M19,$I$91:$Q$117,7,FALSE)+E21*VLOOKUP(M21,$I$91:$Q$117,7,FALSE)+E23*VLOOKUP(M23,$I$91:$Q$117,7,FALSE)</f>
        <v>0</v>
      </c>
      <c r="O8" s="157">
        <f>+F13*VLOOKUP(O13,$I$91:$Q$117,3,FALSE)+F15*VLOOKUP(O15,$I$91:$Q$117,3,FALSE)+F17*VLOOKUP(O17,$I$91:$Q$117,3,FALSE)+F19*VLOOKUP(O19,$I$91:$Q$117,7,FALSE)+F21*VLOOKUP(O21,$I$91:$Q$117,7,FALSE)+F23*VLOOKUP(O23,$I$91:$Q$117,7,FALSE)</f>
        <v>0</v>
      </c>
      <c r="Q8" s="157">
        <f>+G13*VLOOKUP(Q13,$I$91:$Q$117,3,FALSE)+G15*VLOOKUP(Q15,$I$91:$Q$117,3,FALSE)+G17*VLOOKUP(Q17,$I$91:$Q$117,3,FALSE)+G19*VLOOKUP(Q19,$I$91:$Q$117,7,FALSE)+G21*VLOOKUP(Q21,$I$91:$Q$117,7,FALSE)+G23*VLOOKUP(Q23,$I$91:$Q$117,7,FALSE)</f>
        <v>0</v>
      </c>
      <c r="S8" s="157">
        <f>+H13*VLOOKUP(S13,$I$91:$Q$117,3,FALSE)+H15*VLOOKUP(S15,$I$91:$Q$117,3,FALSE)+H17*VLOOKUP(S17,$I$91:$Q$117,3,FALSE)+H19*VLOOKUP(S19,$I$91:$Q$117,7,FALSE)+H21*VLOOKUP(S21,$I$91:$Q$117,7,FALSE)+H23*VLOOKUP(S23,$I$91:$Q$117,7,FALSE)</f>
        <v>0</v>
      </c>
    </row>
    <row r="9" spans="1:19" s="156" customFormat="1" ht="6" customHeight="1" x14ac:dyDescent="0.25">
      <c r="C9" s="262"/>
      <c r="D9" s="262"/>
      <c r="E9" s="262"/>
      <c r="F9" s="262"/>
      <c r="G9" s="262"/>
      <c r="H9" s="262"/>
      <c r="I9" s="263"/>
      <c r="J9" s="264"/>
      <c r="K9" s="264"/>
      <c r="L9" s="264"/>
      <c r="M9" s="264"/>
      <c r="N9" s="264"/>
      <c r="O9" s="264"/>
      <c r="P9" s="264"/>
      <c r="Q9" s="264"/>
      <c r="R9" s="264"/>
      <c r="S9" s="264"/>
    </row>
    <row r="10" spans="1:19" s="257" customFormat="1" ht="6" customHeight="1" x14ac:dyDescent="0.25">
      <c r="A10" s="265"/>
      <c r="C10" s="266"/>
      <c r="D10" s="266"/>
      <c r="E10" s="266"/>
      <c r="F10" s="267"/>
      <c r="G10" s="267"/>
      <c r="H10" s="266"/>
      <c r="I10" s="268"/>
      <c r="J10" s="269"/>
      <c r="K10" s="268"/>
      <c r="L10" s="268"/>
      <c r="M10" s="268"/>
      <c r="N10" s="268"/>
      <c r="O10" s="268"/>
      <c r="P10" s="268"/>
      <c r="Q10" s="268"/>
      <c r="R10" s="268"/>
      <c r="S10" s="268"/>
    </row>
    <row r="11" spans="1:19" s="257" customFormat="1" ht="24.9" customHeight="1" x14ac:dyDescent="0.25">
      <c r="A11" s="265"/>
      <c r="C11" s="342" t="s">
        <v>160</v>
      </c>
      <c r="D11" s="343"/>
      <c r="E11" s="343"/>
      <c r="F11" s="343"/>
      <c r="G11" s="343"/>
      <c r="H11" s="344"/>
      <c r="I11" s="268"/>
      <c r="J11" s="269"/>
      <c r="K11" s="268"/>
      <c r="L11" s="268"/>
      <c r="M11" s="268"/>
      <c r="N11" s="268"/>
      <c r="O11" s="268"/>
      <c r="P11" s="268"/>
      <c r="Q11" s="268"/>
      <c r="R11" s="268"/>
      <c r="S11" s="268"/>
    </row>
    <row r="12" spans="1:19" s="257" customFormat="1" ht="12" customHeight="1" x14ac:dyDescent="0.25">
      <c r="C12" s="270" t="s">
        <v>5</v>
      </c>
      <c r="D12" s="270"/>
      <c r="E12" s="270" t="s">
        <v>44</v>
      </c>
      <c r="F12" s="270" t="s">
        <v>50</v>
      </c>
      <c r="G12" s="270" t="s">
        <v>49</v>
      </c>
      <c r="H12" s="270" t="s">
        <v>48</v>
      </c>
      <c r="I12" s="270"/>
      <c r="J12" s="271"/>
      <c r="K12" s="271"/>
      <c r="L12" s="271"/>
      <c r="M12" s="271"/>
      <c r="N12" s="271"/>
      <c r="O12" s="271"/>
      <c r="P12" s="271"/>
      <c r="Q12" s="271"/>
      <c r="R12" s="271"/>
      <c r="S12" s="271"/>
    </row>
    <row r="13" spans="1:19" s="257" customFormat="1" ht="24.9" customHeight="1" x14ac:dyDescent="0.25">
      <c r="A13" s="347" t="s">
        <v>227</v>
      </c>
      <c r="C13" s="338"/>
      <c r="D13" s="338"/>
      <c r="E13" s="272"/>
      <c r="F13" s="272"/>
      <c r="G13" s="273"/>
      <c r="H13" s="272"/>
      <c r="I13" s="160" t="s">
        <v>7</v>
      </c>
      <c r="K13" s="274" t="s">
        <v>146</v>
      </c>
      <c r="L13" s="160"/>
      <c r="M13" s="274" t="s">
        <v>152</v>
      </c>
      <c r="N13" s="160"/>
      <c r="O13" s="274" t="s">
        <v>153</v>
      </c>
      <c r="P13" s="160"/>
      <c r="Q13" s="274" t="s">
        <v>152</v>
      </c>
      <c r="R13" s="160"/>
      <c r="S13" s="274" t="s">
        <v>153</v>
      </c>
    </row>
    <row r="14" spans="1:19" s="257" customFormat="1" ht="6" customHeight="1" x14ac:dyDescent="0.25">
      <c r="A14" s="348"/>
      <c r="C14" s="275"/>
      <c r="D14" s="275"/>
      <c r="E14" s="276"/>
      <c r="F14" s="276"/>
      <c r="G14" s="276"/>
      <c r="H14" s="276"/>
      <c r="I14" s="160"/>
      <c r="K14" s="160"/>
      <c r="L14" s="160"/>
      <c r="M14" s="160"/>
      <c r="N14" s="160"/>
      <c r="O14" s="160"/>
      <c r="P14" s="160"/>
      <c r="Q14" s="160"/>
      <c r="R14" s="160"/>
      <c r="S14" s="160"/>
    </row>
    <row r="15" spans="1:19" s="257" customFormat="1" ht="24.9" customHeight="1" x14ac:dyDescent="0.25">
      <c r="A15" s="348"/>
      <c r="C15" s="338"/>
      <c r="D15" s="338"/>
      <c r="E15" s="272"/>
      <c r="F15" s="277"/>
      <c r="G15" s="273"/>
      <c r="H15" s="272"/>
      <c r="I15" s="160" t="s">
        <v>56</v>
      </c>
      <c r="K15" s="274" t="s">
        <v>65</v>
      </c>
      <c r="L15" s="160"/>
      <c r="M15" s="274" t="s">
        <v>144</v>
      </c>
      <c r="N15" s="160"/>
      <c r="O15" s="274" t="s">
        <v>148</v>
      </c>
      <c r="P15" s="160"/>
      <c r="Q15" s="274" t="s">
        <v>148</v>
      </c>
      <c r="R15" s="160"/>
      <c r="S15" s="274" t="s">
        <v>149</v>
      </c>
    </row>
    <row r="16" spans="1:19" s="257" customFormat="1" ht="6" customHeight="1" x14ac:dyDescent="0.25">
      <c r="A16" s="348"/>
      <c r="C16" s="275"/>
      <c r="D16" s="275"/>
      <c r="E16" s="276"/>
      <c r="F16" s="276"/>
      <c r="G16" s="276"/>
      <c r="H16" s="276"/>
      <c r="I16" s="160"/>
      <c r="K16" s="160"/>
      <c r="L16" s="160"/>
      <c r="M16" s="160"/>
      <c r="N16" s="160"/>
      <c r="O16" s="160"/>
      <c r="P16" s="160"/>
      <c r="Q16" s="160"/>
      <c r="R16" s="160"/>
      <c r="S16" s="160"/>
    </row>
    <row r="17" spans="1:19" s="257" customFormat="1" ht="24.9" customHeight="1" x14ac:dyDescent="0.25">
      <c r="A17" s="348"/>
      <c r="C17" s="338"/>
      <c r="D17" s="338"/>
      <c r="E17" s="272"/>
      <c r="F17" s="277"/>
      <c r="G17" s="273"/>
      <c r="H17" s="272"/>
      <c r="I17" s="160" t="s">
        <v>42</v>
      </c>
      <c r="K17" s="274" t="s">
        <v>145</v>
      </c>
      <c r="L17" s="160"/>
      <c r="M17" s="274" t="s">
        <v>150</v>
      </c>
      <c r="N17" s="160"/>
      <c r="O17" s="274" t="s">
        <v>151</v>
      </c>
      <c r="P17" s="160"/>
      <c r="Q17" s="274" t="s">
        <v>150</v>
      </c>
      <c r="R17" s="160"/>
      <c r="S17" s="274" t="s">
        <v>151</v>
      </c>
    </row>
    <row r="18" spans="1:19" s="257" customFormat="1" ht="12" customHeight="1" x14ac:dyDescent="0.25">
      <c r="C18" s="278"/>
      <c r="D18" s="278"/>
      <c r="E18" s="278"/>
      <c r="F18" s="278"/>
      <c r="G18" s="278"/>
      <c r="H18" s="278"/>
      <c r="I18" s="270"/>
      <c r="J18" s="271"/>
      <c r="K18" s="279"/>
      <c r="L18" s="279"/>
      <c r="M18" s="279"/>
      <c r="N18" s="279"/>
      <c r="O18" s="279"/>
      <c r="P18" s="279"/>
      <c r="Q18" s="279"/>
      <c r="R18" s="279"/>
      <c r="S18" s="279"/>
    </row>
    <row r="19" spans="1:19" s="257" customFormat="1" ht="24.9" customHeight="1" x14ac:dyDescent="0.25">
      <c r="A19" s="347" t="s">
        <v>228</v>
      </c>
      <c r="C19" s="338"/>
      <c r="D19" s="338"/>
      <c r="E19" s="272"/>
      <c r="F19" s="272"/>
      <c r="G19" s="273"/>
      <c r="H19" s="272"/>
      <c r="I19" s="160" t="s">
        <v>7</v>
      </c>
      <c r="K19" s="274" t="s">
        <v>68</v>
      </c>
      <c r="L19" s="160"/>
      <c r="M19" s="274" t="s">
        <v>69</v>
      </c>
      <c r="N19" s="160"/>
      <c r="O19" s="274" t="s">
        <v>146</v>
      </c>
      <c r="P19" s="160"/>
      <c r="Q19" s="274" t="s">
        <v>152</v>
      </c>
      <c r="R19" s="160"/>
      <c r="S19" s="274" t="s">
        <v>153</v>
      </c>
    </row>
    <row r="20" spans="1:19" s="257" customFormat="1" ht="6" customHeight="1" x14ac:dyDescent="0.25">
      <c r="A20" s="348"/>
      <c r="C20" s="275"/>
      <c r="D20" s="275"/>
      <c r="E20" s="276"/>
      <c r="F20" s="276"/>
      <c r="G20" s="276"/>
      <c r="H20" s="276"/>
      <c r="I20" s="160"/>
      <c r="K20" s="160"/>
      <c r="L20" s="160"/>
      <c r="M20" s="160"/>
      <c r="N20" s="160"/>
      <c r="O20" s="160"/>
      <c r="P20" s="160"/>
      <c r="Q20" s="160"/>
      <c r="R20" s="160"/>
      <c r="S20" s="160"/>
    </row>
    <row r="21" spans="1:19" s="257" customFormat="1" ht="24.9" customHeight="1" x14ac:dyDescent="0.25">
      <c r="A21" s="348"/>
      <c r="C21" s="338"/>
      <c r="D21" s="338"/>
      <c r="E21" s="272"/>
      <c r="F21" s="277"/>
      <c r="G21" s="273"/>
      <c r="H21" s="272"/>
      <c r="I21" s="160" t="s">
        <v>56</v>
      </c>
      <c r="K21" s="274" t="s">
        <v>64</v>
      </c>
      <c r="L21" s="160"/>
      <c r="M21" s="274" t="s">
        <v>65</v>
      </c>
      <c r="N21" s="160"/>
      <c r="O21" s="274" t="s">
        <v>144</v>
      </c>
      <c r="P21" s="160"/>
      <c r="Q21" s="274" t="s">
        <v>148</v>
      </c>
      <c r="R21" s="160"/>
      <c r="S21" s="274" t="s">
        <v>149</v>
      </c>
    </row>
    <row r="22" spans="1:19" s="257" customFormat="1" ht="6" customHeight="1" x14ac:dyDescent="0.25">
      <c r="A22" s="348"/>
      <c r="C22" s="275"/>
      <c r="D22" s="275"/>
      <c r="E22" s="276"/>
      <c r="F22" s="276"/>
      <c r="G22" s="276"/>
      <c r="H22" s="276"/>
      <c r="I22" s="160"/>
      <c r="K22" s="160"/>
      <c r="L22" s="160"/>
      <c r="M22" s="160"/>
      <c r="N22" s="160"/>
      <c r="O22" s="160"/>
      <c r="P22" s="160"/>
      <c r="Q22" s="160"/>
      <c r="R22" s="160"/>
      <c r="S22" s="160"/>
    </row>
    <row r="23" spans="1:19" s="257" customFormat="1" ht="24.9" customHeight="1" x14ac:dyDescent="0.25">
      <c r="A23" s="348"/>
      <c r="C23" s="349"/>
      <c r="D23" s="349"/>
      <c r="E23" s="280"/>
      <c r="F23" s="281"/>
      <c r="G23" s="282"/>
      <c r="H23" s="280"/>
      <c r="I23" s="160" t="s">
        <v>42</v>
      </c>
      <c r="K23" s="274" t="s">
        <v>66</v>
      </c>
      <c r="L23" s="160"/>
      <c r="M23" s="274" t="s">
        <v>67</v>
      </c>
      <c r="N23" s="160"/>
      <c r="O23" s="274" t="s">
        <v>145</v>
      </c>
      <c r="P23" s="160"/>
      <c r="Q23" s="274" t="s">
        <v>150</v>
      </c>
      <c r="R23" s="160"/>
      <c r="S23" s="274" t="s">
        <v>151</v>
      </c>
    </row>
    <row r="24" spans="1:19" s="156" customFormat="1" ht="6" customHeight="1" x14ac:dyDescent="0.25">
      <c r="C24" s="262"/>
      <c r="D24" s="262"/>
      <c r="E24" s="262"/>
      <c r="F24" s="262"/>
      <c r="G24" s="262"/>
      <c r="H24" s="262"/>
      <c r="I24" s="263"/>
      <c r="J24" s="264"/>
      <c r="K24" s="264"/>
      <c r="L24" s="264"/>
      <c r="M24" s="264"/>
      <c r="N24" s="264"/>
      <c r="O24" s="264"/>
      <c r="P24" s="264"/>
      <c r="Q24" s="264"/>
      <c r="R24" s="264"/>
      <c r="S24" s="264"/>
    </row>
    <row r="25" spans="1:19" s="283" customFormat="1" ht="6" customHeight="1" x14ac:dyDescent="0.25"/>
    <row r="26" spans="1:19" s="156" customFormat="1" ht="30" customHeight="1" x14ac:dyDescent="0.3">
      <c r="A26" s="260">
        <v>8</v>
      </c>
      <c r="C26" s="350" t="s">
        <v>158</v>
      </c>
      <c r="D26" s="350"/>
      <c r="E26" s="350"/>
      <c r="F26" s="350"/>
      <c r="G26" s="10" t="s">
        <v>51</v>
      </c>
      <c r="H26" s="259"/>
      <c r="I26" s="261" t="s">
        <v>52</v>
      </c>
      <c r="K26" s="157">
        <f>ROUND(IF($I$26="1/2-time",K27,K28),0)</f>
        <v>0</v>
      </c>
      <c r="M26" s="157">
        <f>ROUND(IF($I$26="1/2-time",M27,M28),0)</f>
        <v>0</v>
      </c>
      <c r="O26" s="157">
        <f>ROUND(IF($I$26="1/2-time",O27,O28),0)</f>
        <v>0</v>
      </c>
      <c r="Q26" s="157">
        <f>ROUND(IF($I$26="1/2-time",Q27,Q28),0)</f>
        <v>0</v>
      </c>
      <c r="S26" s="157">
        <f>ROUND(IF($I$26="1/2-time",S27,S28),0)</f>
        <v>0</v>
      </c>
    </row>
    <row r="27" spans="1:19" s="156" customFormat="1" ht="15" hidden="1" x14ac:dyDescent="0.25">
      <c r="A27" s="156">
        <v>8</v>
      </c>
      <c r="C27" s="341" t="s">
        <v>53</v>
      </c>
      <c r="D27" s="341"/>
      <c r="E27" s="341"/>
      <c r="F27" s="341"/>
      <c r="G27" s="259"/>
      <c r="H27" s="259"/>
      <c r="I27" s="259" t="s">
        <v>54</v>
      </c>
      <c r="K27" s="157">
        <f>+C33*VLOOKUP(K33,$I$121:$Q$147,5,FALSE)+C35*VLOOKUP(K35,$I$121:$Q$147,5,FALSE)+C37*VLOOKUP(K37,$I$121:$Q$147,5,FALSE)+C39*VLOOKUP(K39,$I$121:$Q$147,9,FALSE)+C41*VLOOKUP(K41,$I$121:$Q$147,9,FALSE)+C43*VLOOKUP(K43,$I$121:$Q$147,9,FALSE)</f>
        <v>0</v>
      </c>
      <c r="L27" s="157"/>
      <c r="M27" s="157">
        <f>+E33*VLOOKUP(M33,$I$121:$Q$147,5,FALSE)+E35*VLOOKUP(M35,$I$121:$Q$147,5,FALSE)+E37*VLOOKUP(M37,$I$121:$Q$147,5,FALSE)+E39*VLOOKUP(M39,$I$121:$Q$147,9,FALSE)+E41*VLOOKUP(M41,$I$121:$Q$147,9,FALSE)+E43*VLOOKUP(M43,$I$121:$Q$147,9,FALSE)</f>
        <v>0</v>
      </c>
      <c r="N27" s="157"/>
      <c r="O27" s="157">
        <f>+F33*VLOOKUP(O33,$I$121:$Q$147,5,FALSE)+F35*VLOOKUP(O35,$I$121:$Q$147,5,FALSE)+F37*VLOOKUP(O37,$I$121:$Q$147,5,FALSE)+F39*VLOOKUP(O39,$I$121:$Q$147,9,FALSE)+F41*VLOOKUP(O41,$I$121:$Q$147,9,FALSE)+F43*VLOOKUP(O43,$I$121:$Q$147,9,FALSE)</f>
        <v>0</v>
      </c>
      <c r="P27" s="157"/>
      <c r="Q27" s="157">
        <f>+G33*VLOOKUP(Q33,$I$121:$Q$147,5,FALSE)+G35*VLOOKUP(Q35,$I$121:$Q$147,5,FALSE)+G37*VLOOKUP(Q37,$I$121:$Q$147,5,FALSE)+G39*VLOOKUP(Q39,$I$121:$Q$147,9,FALSE)+G41*VLOOKUP(Q41,$I$121:$Q$147,9,FALSE)+G43*VLOOKUP(Q43,$I$121:$Q$147,9,FALSE)</f>
        <v>0</v>
      </c>
      <c r="R27" s="157"/>
      <c r="S27" s="157">
        <f>+H33*VLOOKUP(S33,$I$121:$Q$147,5,FALSE)+H35*VLOOKUP(S35,$I$121:$Q$147,5,FALSE)+H37*VLOOKUP(S37,$I$121:$Q$147,5,FALSE)+H39*VLOOKUP(S39,$I$121:$Q$147,9,FALSE)+H41*VLOOKUP(S41,$I$121:$Q$147,9,FALSE)+H43*VLOOKUP(S43,$I$121:$Q$147,9,FALSE)</f>
        <v>0</v>
      </c>
    </row>
    <row r="28" spans="1:19" s="156" customFormat="1" ht="18" hidden="1" customHeight="1" x14ac:dyDescent="0.25">
      <c r="A28" s="156">
        <v>8</v>
      </c>
      <c r="C28" s="341" t="s">
        <v>53</v>
      </c>
      <c r="D28" s="341"/>
      <c r="E28" s="341"/>
      <c r="F28" s="341"/>
      <c r="G28" s="259"/>
      <c r="H28" s="259"/>
      <c r="I28" s="259" t="s">
        <v>55</v>
      </c>
      <c r="K28" s="157">
        <f>+C33*VLOOKUP(K33,$I$121:$Q$147,3,FALSE)+C35*VLOOKUP(K35,$I$121:$Q$147,3,FALSE)+C37*VLOOKUP(K37,$I$121:$Q$147,3,FALSE)+C39*VLOOKUP(K39,$I$121:$Q$147,7,FALSE)+C41*VLOOKUP(K41,$I$121:$Q$147,7,FALSE)+C43*VLOOKUP(K43,$I$121:$Q$147,7,FALSE)</f>
        <v>0</v>
      </c>
      <c r="M28" s="157">
        <f>+E33*VLOOKUP(M33,$I$121:$Q$147,3,FALSE)+E35*VLOOKUP(M35,$I$121:$Q$147,3,FALSE)+E37*VLOOKUP(M37,$I$121:$Q$147,3,FALSE)+E39*VLOOKUP(M39,$I$121:$Q$147,7,FALSE)+E41*VLOOKUP(M41,$I$121:$Q$147,7,FALSE)+E43*VLOOKUP(M43,$I$121:$Q$147,7,FALSE)</f>
        <v>0</v>
      </c>
      <c r="O28" s="157">
        <f>+F33*VLOOKUP(O33,$I$121:$Q$147,3,FALSE)+F35*VLOOKUP(O35,$I$121:$Q$147,3,FALSE)+F37*VLOOKUP(O37,$I$121:$Q$147,3,FALSE)+F39*VLOOKUP(O39,$I$121:$Q$147,7,FALSE)+F41*VLOOKUP(O41,$I$121:$Q$147,7,FALSE)+F43*VLOOKUP(O43,$I$121:$Q$147,7,FALSE)</f>
        <v>0</v>
      </c>
      <c r="Q28" s="157">
        <f>+G33*VLOOKUP(Q33,$I$121:$Q$147,3,FALSE)+G35*VLOOKUP(Q35,$I$121:$Q$147,3,FALSE)+G37*VLOOKUP(Q37,$I$121:$Q$147,3,FALSE)+G39*VLOOKUP(Q39,$I$121:$Q$147,7,FALSE)+G41*VLOOKUP(Q41,$I$121:$Q$147,7,FALSE)+G43*VLOOKUP(Q43,$I$121:$Q$147,7,FALSE)</f>
        <v>0</v>
      </c>
      <c r="S28" s="157">
        <f>+H33*VLOOKUP(S33,$I$121:$Q$147,3,FALSE)+H35*VLOOKUP(S35,$I$121:$Q$147,3,FALSE)+H37*VLOOKUP(S37,$I$121:$Q$147,3,FALSE)+H39*VLOOKUP(S39,$I$121:$Q$147,7,FALSE)+H41*VLOOKUP(S41,$I$121:$Q$147,7,FALSE)+H43*VLOOKUP(S43,$I$121:$Q$147,7,FALSE)</f>
        <v>0</v>
      </c>
    </row>
    <row r="29" spans="1:19" s="156" customFormat="1" ht="6" customHeight="1" x14ac:dyDescent="0.25">
      <c r="C29" s="262"/>
      <c r="D29" s="262"/>
      <c r="E29" s="262"/>
      <c r="F29" s="262"/>
      <c r="G29" s="262"/>
      <c r="H29" s="262"/>
      <c r="I29" s="263"/>
      <c r="J29" s="264"/>
      <c r="K29" s="264"/>
      <c r="L29" s="264"/>
      <c r="M29" s="264"/>
      <c r="N29" s="264"/>
      <c r="O29" s="264"/>
      <c r="P29" s="264"/>
      <c r="Q29" s="264"/>
      <c r="R29" s="264"/>
      <c r="S29" s="264"/>
    </row>
    <row r="30" spans="1:19" s="257" customFormat="1" ht="6" customHeight="1" x14ac:dyDescent="0.25">
      <c r="A30" s="265"/>
      <c r="C30" s="266"/>
      <c r="D30" s="266"/>
      <c r="E30" s="266"/>
      <c r="F30" s="267"/>
      <c r="G30" s="267"/>
      <c r="H30" s="266"/>
      <c r="I30" s="268"/>
      <c r="J30" s="269"/>
      <c r="K30" s="268"/>
      <c r="L30" s="268"/>
      <c r="M30" s="268"/>
      <c r="N30" s="268"/>
      <c r="O30" s="268"/>
      <c r="P30" s="268"/>
      <c r="Q30" s="268"/>
      <c r="R30" s="268"/>
      <c r="S30" s="268"/>
    </row>
    <row r="31" spans="1:19" s="257" customFormat="1" ht="24.9" customHeight="1" x14ac:dyDescent="0.25">
      <c r="A31" s="284"/>
      <c r="B31" s="269"/>
      <c r="C31" s="342" t="s">
        <v>157</v>
      </c>
      <c r="D31" s="343"/>
      <c r="E31" s="343"/>
      <c r="F31" s="343"/>
      <c r="G31" s="343"/>
      <c r="H31" s="344"/>
      <c r="I31" s="268"/>
      <c r="J31" s="269"/>
      <c r="K31" s="157"/>
      <c r="L31" s="268"/>
      <c r="M31" s="157"/>
      <c r="N31" s="283"/>
      <c r="O31" s="157"/>
      <c r="P31" s="283"/>
      <c r="Q31" s="157"/>
      <c r="R31" s="283"/>
      <c r="S31" s="157"/>
    </row>
    <row r="32" spans="1:19" s="257" customFormat="1" ht="12" customHeight="1" x14ac:dyDescent="0.25">
      <c r="A32" s="269"/>
      <c r="B32" s="269"/>
      <c r="C32" s="285" t="s">
        <v>5</v>
      </c>
      <c r="D32" s="285"/>
      <c r="E32" s="285" t="s">
        <v>44</v>
      </c>
      <c r="F32" s="285" t="s">
        <v>50</v>
      </c>
      <c r="G32" s="285" t="s">
        <v>49</v>
      </c>
      <c r="H32" s="285" t="s">
        <v>48</v>
      </c>
      <c r="I32" s="285"/>
      <c r="J32" s="286"/>
      <c r="K32" s="286"/>
      <c r="L32" s="286"/>
      <c r="M32" s="286"/>
      <c r="N32" s="286"/>
      <c r="O32" s="286"/>
      <c r="P32" s="286"/>
      <c r="Q32" s="286"/>
      <c r="R32" s="286"/>
      <c r="S32" s="286"/>
    </row>
    <row r="33" spans="1:19" s="257" customFormat="1" ht="24.9" customHeight="1" x14ac:dyDescent="0.25">
      <c r="A33" s="336" t="s">
        <v>227</v>
      </c>
      <c r="B33" s="269"/>
      <c r="C33" s="345"/>
      <c r="D33" s="346"/>
      <c r="E33" s="272"/>
      <c r="F33" s="272"/>
      <c r="G33" s="273"/>
      <c r="H33" s="272"/>
      <c r="I33" s="268" t="s">
        <v>7</v>
      </c>
      <c r="J33" s="269"/>
      <c r="K33" s="274" t="s">
        <v>68</v>
      </c>
      <c r="L33" s="268"/>
      <c r="M33" s="274" t="s">
        <v>69</v>
      </c>
      <c r="N33" s="268"/>
      <c r="O33" s="274" t="s">
        <v>146</v>
      </c>
      <c r="P33" s="268"/>
      <c r="Q33" s="274" t="s">
        <v>152</v>
      </c>
      <c r="R33" s="268"/>
      <c r="S33" s="274" t="s">
        <v>153</v>
      </c>
    </row>
    <row r="34" spans="1:19" s="257" customFormat="1" ht="6" customHeight="1" x14ac:dyDescent="0.25">
      <c r="A34" s="337"/>
      <c r="B34" s="269"/>
      <c r="C34" s="287"/>
      <c r="D34" s="287"/>
      <c r="E34" s="288"/>
      <c r="F34" s="288"/>
      <c r="G34" s="288"/>
      <c r="H34" s="288"/>
      <c r="I34" s="268"/>
      <c r="J34" s="269"/>
      <c r="K34" s="268"/>
      <c r="L34" s="268"/>
      <c r="M34" s="268"/>
      <c r="N34" s="268"/>
      <c r="O34" s="268"/>
      <c r="P34" s="268"/>
      <c r="Q34" s="268"/>
      <c r="R34" s="268"/>
      <c r="S34" s="268"/>
    </row>
    <row r="35" spans="1:19" s="257" customFormat="1" ht="24.9" customHeight="1" x14ac:dyDescent="0.25">
      <c r="A35" s="337"/>
      <c r="B35" s="269"/>
      <c r="C35" s="338"/>
      <c r="D35" s="338"/>
      <c r="E35" s="272"/>
      <c r="F35" s="277"/>
      <c r="G35" s="273"/>
      <c r="H35" s="272"/>
      <c r="I35" s="268" t="s">
        <v>56</v>
      </c>
      <c r="J35" s="269"/>
      <c r="K35" s="274" t="s">
        <v>64</v>
      </c>
      <c r="L35" s="268"/>
      <c r="M35" s="274" t="s">
        <v>65</v>
      </c>
      <c r="N35" s="268"/>
      <c r="O35" s="274" t="s">
        <v>144</v>
      </c>
      <c r="P35" s="268"/>
      <c r="Q35" s="274" t="s">
        <v>148</v>
      </c>
      <c r="R35" s="268"/>
      <c r="S35" s="274" t="s">
        <v>149</v>
      </c>
    </row>
    <row r="36" spans="1:19" s="257" customFormat="1" ht="6" customHeight="1" x14ac:dyDescent="0.25">
      <c r="A36" s="337"/>
      <c r="B36" s="269"/>
      <c r="C36" s="287"/>
      <c r="D36" s="287"/>
      <c r="E36" s="288"/>
      <c r="F36" s="288"/>
      <c r="G36" s="288"/>
      <c r="H36" s="288"/>
      <c r="I36" s="268"/>
      <c r="J36" s="269"/>
      <c r="K36" s="268"/>
      <c r="L36" s="268"/>
      <c r="M36" s="268"/>
      <c r="N36" s="268"/>
      <c r="O36" s="268"/>
      <c r="P36" s="268"/>
      <c r="Q36" s="268"/>
      <c r="R36" s="268"/>
      <c r="S36" s="268"/>
    </row>
    <row r="37" spans="1:19" s="257" customFormat="1" ht="24.9" customHeight="1" x14ac:dyDescent="0.25">
      <c r="A37" s="337"/>
      <c r="B37" s="269"/>
      <c r="C37" s="338"/>
      <c r="D37" s="338"/>
      <c r="E37" s="272"/>
      <c r="F37" s="277"/>
      <c r="G37" s="273"/>
      <c r="H37" s="272"/>
      <c r="I37" s="268" t="s">
        <v>42</v>
      </c>
      <c r="J37" s="269"/>
      <c r="K37" s="274" t="s">
        <v>66</v>
      </c>
      <c r="L37" s="268"/>
      <c r="M37" s="274" t="s">
        <v>67</v>
      </c>
      <c r="N37" s="268"/>
      <c r="O37" s="274" t="s">
        <v>145</v>
      </c>
      <c r="P37" s="268"/>
      <c r="Q37" s="274" t="s">
        <v>150</v>
      </c>
      <c r="R37" s="268"/>
      <c r="S37" s="274" t="s">
        <v>151</v>
      </c>
    </row>
    <row r="38" spans="1:19" s="257" customFormat="1" ht="12" customHeight="1" x14ac:dyDescent="0.25">
      <c r="A38" s="269"/>
      <c r="B38" s="269"/>
      <c r="C38" s="289" t="s">
        <v>5</v>
      </c>
      <c r="D38" s="289"/>
      <c r="E38" s="289" t="s">
        <v>44</v>
      </c>
      <c r="F38" s="289" t="s">
        <v>50</v>
      </c>
      <c r="G38" s="289" t="s">
        <v>49</v>
      </c>
      <c r="H38" s="289" t="s">
        <v>48</v>
      </c>
      <c r="I38" s="285"/>
      <c r="J38" s="286"/>
      <c r="K38" s="290"/>
      <c r="L38" s="290"/>
      <c r="M38" s="290"/>
      <c r="N38" s="290"/>
      <c r="O38" s="290"/>
      <c r="P38" s="290"/>
      <c r="Q38" s="290"/>
      <c r="R38" s="290"/>
      <c r="S38" s="290"/>
    </row>
    <row r="39" spans="1:19" s="257" customFormat="1" ht="24.9" customHeight="1" x14ac:dyDescent="0.25">
      <c r="A39" s="336" t="s">
        <v>228</v>
      </c>
      <c r="B39" s="269"/>
      <c r="C39" s="338"/>
      <c r="D39" s="338"/>
      <c r="E39" s="272"/>
      <c r="F39" s="272"/>
      <c r="G39" s="273"/>
      <c r="H39" s="272"/>
      <c r="I39" s="268" t="s">
        <v>7</v>
      </c>
      <c r="J39" s="269"/>
      <c r="K39" s="274" t="s">
        <v>68</v>
      </c>
      <c r="L39" s="268"/>
      <c r="M39" s="274" t="s">
        <v>69</v>
      </c>
      <c r="N39" s="268"/>
      <c r="O39" s="274" t="s">
        <v>146</v>
      </c>
      <c r="P39" s="268"/>
      <c r="Q39" s="274" t="s">
        <v>152</v>
      </c>
      <c r="R39" s="268"/>
      <c r="S39" s="274" t="s">
        <v>153</v>
      </c>
    </row>
    <row r="40" spans="1:19" s="257" customFormat="1" ht="6" customHeight="1" x14ac:dyDescent="0.25">
      <c r="A40" s="337"/>
      <c r="B40" s="269"/>
      <c r="C40" s="287"/>
      <c r="D40" s="287"/>
      <c r="E40" s="288"/>
      <c r="F40" s="288"/>
      <c r="G40" s="288"/>
      <c r="H40" s="288"/>
      <c r="I40" s="268"/>
      <c r="J40" s="269"/>
      <c r="K40" s="268"/>
      <c r="L40" s="268"/>
      <c r="M40" s="268"/>
      <c r="N40" s="268"/>
      <c r="O40" s="268"/>
      <c r="P40" s="268"/>
      <c r="Q40" s="268"/>
      <c r="R40" s="268"/>
      <c r="S40" s="268"/>
    </row>
    <row r="41" spans="1:19" s="257" customFormat="1" ht="24.9" customHeight="1" x14ac:dyDescent="0.25">
      <c r="A41" s="337"/>
      <c r="B41" s="269"/>
      <c r="C41" s="338"/>
      <c r="D41" s="338"/>
      <c r="E41" s="272"/>
      <c r="F41" s="277"/>
      <c r="G41" s="273"/>
      <c r="H41" s="272"/>
      <c r="I41" s="268" t="s">
        <v>56</v>
      </c>
      <c r="J41" s="269"/>
      <c r="K41" s="274" t="s">
        <v>64</v>
      </c>
      <c r="L41" s="268"/>
      <c r="M41" s="274" t="s">
        <v>65</v>
      </c>
      <c r="N41" s="268"/>
      <c r="O41" s="274" t="s">
        <v>144</v>
      </c>
      <c r="P41" s="268"/>
      <c r="Q41" s="274" t="s">
        <v>148</v>
      </c>
      <c r="R41" s="268"/>
      <c r="S41" s="274" t="s">
        <v>149</v>
      </c>
    </row>
    <row r="42" spans="1:19" s="257" customFormat="1" ht="6" customHeight="1" x14ac:dyDescent="0.25">
      <c r="A42" s="337"/>
      <c r="B42" s="269"/>
      <c r="C42" s="287"/>
      <c r="D42" s="287"/>
      <c r="E42" s="288"/>
      <c r="F42" s="288"/>
      <c r="G42" s="288"/>
      <c r="H42" s="288"/>
      <c r="I42" s="268"/>
      <c r="J42" s="269"/>
      <c r="K42" s="268"/>
      <c r="L42" s="268"/>
      <c r="M42" s="268"/>
      <c r="N42" s="268"/>
      <c r="O42" s="268"/>
      <c r="P42" s="268"/>
      <c r="Q42" s="268"/>
      <c r="R42" s="268"/>
      <c r="S42" s="268"/>
    </row>
    <row r="43" spans="1:19" s="257" customFormat="1" ht="24.9" customHeight="1" x14ac:dyDescent="0.25">
      <c r="A43" s="337"/>
      <c r="B43" s="269"/>
      <c r="C43" s="338"/>
      <c r="D43" s="338"/>
      <c r="E43" s="272"/>
      <c r="F43" s="277"/>
      <c r="G43" s="273"/>
      <c r="H43" s="272"/>
      <c r="I43" s="268" t="s">
        <v>42</v>
      </c>
      <c r="J43" s="269"/>
      <c r="K43" s="274" t="s">
        <v>66</v>
      </c>
      <c r="L43" s="268"/>
      <c r="M43" s="274" t="s">
        <v>67</v>
      </c>
      <c r="N43" s="268"/>
      <c r="O43" s="274" t="s">
        <v>145</v>
      </c>
      <c r="P43" s="268"/>
      <c r="Q43" s="274" t="s">
        <v>150</v>
      </c>
      <c r="R43" s="268"/>
      <c r="S43" s="274" t="s">
        <v>151</v>
      </c>
    </row>
    <row r="44" spans="1:19" s="156" customFormat="1" ht="6" customHeight="1" x14ac:dyDescent="0.25">
      <c r="C44" s="291"/>
      <c r="D44" s="291"/>
      <c r="E44" s="291"/>
      <c r="F44" s="291"/>
      <c r="G44" s="291"/>
      <c r="H44" s="291"/>
      <c r="I44" s="291"/>
      <c r="J44" s="292"/>
      <c r="K44" s="292"/>
      <c r="L44" s="292"/>
      <c r="M44" s="292"/>
      <c r="N44" s="292"/>
      <c r="O44" s="292"/>
      <c r="P44" s="292"/>
      <c r="Q44" s="292"/>
      <c r="R44" s="292"/>
      <c r="S44" s="292"/>
    </row>
    <row r="45" spans="1:19" s="283" customFormat="1" ht="6" customHeight="1" x14ac:dyDescent="0.25"/>
    <row r="46" spans="1:19" s="156" customFormat="1" ht="44.25" customHeight="1" x14ac:dyDescent="0.3">
      <c r="A46" s="260">
        <v>8</v>
      </c>
      <c r="C46" s="350" t="s">
        <v>156</v>
      </c>
      <c r="D46" s="350"/>
      <c r="E46" s="350"/>
      <c r="F46" s="350"/>
      <c r="G46" s="10" t="s">
        <v>51</v>
      </c>
      <c r="H46" s="259"/>
      <c r="I46" s="261" t="s">
        <v>52</v>
      </c>
      <c r="K46" s="157">
        <f>ROUND(IF($I$46="1/2-time",K47,K48),0)</f>
        <v>0</v>
      </c>
      <c r="M46" s="157">
        <f>ROUND(IF($I$46="1/2-time",M47,M48),0)</f>
        <v>0</v>
      </c>
      <c r="O46" s="157">
        <f>ROUND(IF($I$46="1/2-time",O47,O48),0)</f>
        <v>0</v>
      </c>
      <c r="Q46" s="157">
        <f>ROUND(IF($I$46="1/2-time",Q47,Q48),0)</f>
        <v>0</v>
      </c>
      <c r="S46" s="157">
        <f>ROUND(IF($I$46="1/2-time",S47,S48),0)</f>
        <v>0</v>
      </c>
    </row>
    <row r="47" spans="1:19" s="156" customFormat="1" ht="3" customHeight="1" x14ac:dyDescent="0.25">
      <c r="A47" s="156">
        <v>8</v>
      </c>
      <c r="C47" s="341" t="s">
        <v>53</v>
      </c>
      <c r="D47" s="341"/>
      <c r="E47" s="341"/>
      <c r="F47" s="341"/>
      <c r="G47" s="259"/>
      <c r="H47" s="259"/>
      <c r="I47" s="259" t="s">
        <v>54</v>
      </c>
      <c r="K47" s="157">
        <f>+C53*VLOOKUP(K53,$I$151:$Q$177,5,FALSE)+C55*VLOOKUP(K55,$I$151:$Q$177,5,FALSE)+C57*VLOOKUP(K57,$I$151:$Q$177,5,FALSE)+C59*VLOOKUP(K59,$I$151:$Q$177,9,FALSE)+C61*VLOOKUP(K61,$I$151:$Q$177,9,FALSE)+C63*VLOOKUP(K63,$I$151:$Q$177,9,FALSE)</f>
        <v>0</v>
      </c>
      <c r="L47" s="157"/>
      <c r="M47" s="157">
        <f>+E53*VLOOKUP(M53,$I$151:$Q$177,5,FALSE)+E55*VLOOKUP(M55,$I$151:$Q$177,5,FALSE)+E57*VLOOKUP(M57,$I$151:$Q$177,5,FALSE)+E59*VLOOKUP(M59,$I$151:$Q$177,9,FALSE)+E61*VLOOKUP(M61,$I$151:$Q$177,9,FALSE)+E63*VLOOKUP(M63,$I$151:$Q$177,9,FALSE)</f>
        <v>0</v>
      </c>
      <c r="N47" s="157"/>
      <c r="O47" s="157">
        <f>+F53*VLOOKUP(O53,$I$151:$Q$177,5,FALSE)+F55*VLOOKUP(O55,$I$151:$Q$177,5,FALSE)+F57*VLOOKUP(O57,$I$151:$Q$177,5,FALSE)+F59*VLOOKUP(O59,$I$151:$Q$177,9,FALSE)+F61*VLOOKUP(O61,$I$151:$Q$177,9,FALSE)+F63*VLOOKUP(O63,$I$151:$Q$177,9,FALSE)</f>
        <v>0</v>
      </c>
      <c r="P47" s="157"/>
      <c r="Q47" s="157">
        <f>+G53*VLOOKUP(Q53,$I$151:$Q$177,5,FALSE)+G55*VLOOKUP(Q55,$I$151:$Q$177,5,FALSE)+G57*VLOOKUP(Q57,$I$151:$Q$177,5,FALSE)+G59*VLOOKUP(Q59,$I$151:$Q$177,9,FALSE)+G61*VLOOKUP(Q61,$I$151:$Q$177,9,FALSE)+G63*VLOOKUP(Q63,$I$151:$Q$177,9,FALSE)</f>
        <v>0</v>
      </c>
      <c r="R47" s="157"/>
      <c r="S47" s="157">
        <f>+H53*VLOOKUP(S53,$I$151:$Q$177,5,FALSE)+H55*VLOOKUP(S55,$I$151:$Q$177,5,FALSE)+H57*VLOOKUP(S57,$I$151:$Q$177,5,FALSE)+H59*VLOOKUP(S59,$I$151:$Q$177,9,FALSE)+H61*VLOOKUP(S61,$I$151:$Q$177,9,FALSE)+H63*VLOOKUP(S63,$I$151:$Q$177,9,FALSE)</f>
        <v>0</v>
      </c>
    </row>
    <row r="48" spans="1:19" s="156" customFormat="1" ht="2.25" customHeight="1" x14ac:dyDescent="0.25">
      <c r="A48" s="156">
        <v>8</v>
      </c>
      <c r="C48" s="341" t="s">
        <v>53</v>
      </c>
      <c r="D48" s="341"/>
      <c r="E48" s="341"/>
      <c r="F48" s="341"/>
      <c r="G48" s="259"/>
      <c r="H48" s="259"/>
      <c r="I48" s="259" t="s">
        <v>55</v>
      </c>
      <c r="K48" s="157">
        <f>+C53*VLOOKUP(K53,$I$151:$Q$177,3,FALSE)+C55*VLOOKUP(K55,$I$151:$Q$177,3,FALSE)+C57*VLOOKUP(K57,$I$151:$Q$177,3,FALSE)+C59*VLOOKUP(K59,$I$151:$Q$177,7,FALSE)+C61*VLOOKUP(K61,$I$151:$Q$177,7,FALSE)+C63*VLOOKUP(K63,$I$151:$Q$177,7,FALSE)</f>
        <v>0</v>
      </c>
      <c r="M48" s="157">
        <f>+E53*VLOOKUP(M53,$I$151:$Q$177,3,FALSE)+E55*VLOOKUP(M55,$I$151:$Q$177,3,FALSE)+E57*VLOOKUP(M57,$I$151:$Q$177,3,FALSE)+E59*VLOOKUP(M59,$I$151:$Q$177,7,FALSE)+E61*VLOOKUP(M61,$I$151:$Q$177,7,FALSE)+E63*VLOOKUP(M63,$I$151:$Q$177,7,FALSE)</f>
        <v>0</v>
      </c>
      <c r="O48" s="157">
        <f>+F53*VLOOKUP(O53,$I$151:$Q$177,3,FALSE)+F55*VLOOKUP(O55,$I$151:$Q$177,3,FALSE)+F57*VLOOKUP(O57,$I$151:$Q$177,3,FALSE)+F59*VLOOKUP(O59,$I$151:$Q$177,7,FALSE)+F61*VLOOKUP(O61,$I$151:$Q$177,7,FALSE)+F63*VLOOKUP(O63,$I$151:$Q$177,7,FALSE)</f>
        <v>0</v>
      </c>
      <c r="Q48" s="157">
        <f>+G53*VLOOKUP(Q53,$I$151:$Q$177,3,FALSE)+G55*VLOOKUP(Q55,$I$151:$Q$177,3,FALSE)+G57*VLOOKUP(Q57,$I$151:$Q$177,3,FALSE)+G59*VLOOKUP(Q59,$I$151:$Q$177,7,FALSE)+G61*VLOOKUP(Q61,$I$151:$Q$177,7,FALSE)+G63*VLOOKUP(Q63,$I$151:$Q$177,7,FALSE)</f>
        <v>0</v>
      </c>
      <c r="S48" s="157">
        <f>+H53*VLOOKUP(S53,$I$151:$Q$177,3,FALSE)+H55*VLOOKUP(S55,$I$151:$Q$177,3,FALSE)+H57*VLOOKUP(S57,$I$151:$Q$177,3,FALSE)+H59*VLOOKUP(S59,$I$151:$Q$177,7,FALSE)+H61*VLOOKUP(S61,$I$151:$Q$177,7,FALSE)+H63*VLOOKUP(S63,$I$151:$Q$177,7,FALSE)</f>
        <v>0</v>
      </c>
    </row>
    <row r="49" spans="1:19" s="156" customFormat="1" ht="20.25" customHeight="1" x14ac:dyDescent="0.25">
      <c r="C49" s="262"/>
      <c r="D49" s="262"/>
      <c r="E49" s="262"/>
      <c r="F49" s="262"/>
      <c r="G49" s="262"/>
      <c r="H49" s="262"/>
      <c r="I49" s="263"/>
      <c r="J49" s="264"/>
      <c r="K49" s="264"/>
      <c r="L49" s="264"/>
      <c r="M49" s="264"/>
      <c r="N49" s="264"/>
      <c r="O49" s="264"/>
      <c r="P49" s="264"/>
      <c r="Q49" s="264"/>
      <c r="R49" s="264"/>
      <c r="S49" s="264"/>
    </row>
    <row r="50" spans="1:19" s="257" customFormat="1" ht="24" customHeight="1" x14ac:dyDescent="0.25">
      <c r="A50" s="265"/>
      <c r="C50" s="266"/>
      <c r="D50" s="266"/>
      <c r="E50" s="266"/>
      <c r="F50" s="267"/>
      <c r="G50" s="267"/>
      <c r="H50" s="266"/>
      <c r="I50" s="268"/>
      <c r="J50" s="269"/>
      <c r="K50" s="268"/>
      <c r="L50" s="268"/>
      <c r="M50" s="268"/>
      <c r="N50" s="268"/>
      <c r="O50" s="268"/>
      <c r="P50" s="268"/>
      <c r="Q50" s="268"/>
      <c r="R50" s="268"/>
      <c r="S50" s="268"/>
    </row>
    <row r="51" spans="1:19" s="257" customFormat="1" ht="24.9" customHeight="1" x14ac:dyDescent="0.25">
      <c r="A51" s="284"/>
      <c r="B51" s="269"/>
      <c r="C51" s="342" t="s">
        <v>147</v>
      </c>
      <c r="D51" s="343"/>
      <c r="E51" s="343"/>
      <c r="F51" s="343"/>
      <c r="G51" s="343"/>
      <c r="H51" s="344"/>
      <c r="I51" s="268"/>
      <c r="J51" s="269"/>
      <c r="K51" s="157"/>
      <c r="L51" s="268"/>
      <c r="M51" s="157"/>
      <c r="N51" s="283"/>
      <c r="O51" s="157"/>
      <c r="P51" s="283"/>
      <c r="Q51" s="157"/>
      <c r="R51" s="283"/>
      <c r="S51" s="157"/>
    </row>
    <row r="52" spans="1:19" s="257" customFormat="1" ht="12" customHeight="1" x14ac:dyDescent="0.25">
      <c r="A52" s="269"/>
      <c r="B52" s="269"/>
      <c r="C52" s="285" t="s">
        <v>5</v>
      </c>
      <c r="D52" s="285"/>
      <c r="E52" s="285" t="s">
        <v>44</v>
      </c>
      <c r="F52" s="285" t="s">
        <v>50</v>
      </c>
      <c r="G52" s="285" t="s">
        <v>49</v>
      </c>
      <c r="H52" s="285" t="s">
        <v>48</v>
      </c>
      <c r="I52" s="285"/>
      <c r="J52" s="286"/>
      <c r="K52" s="286"/>
      <c r="L52" s="286"/>
      <c r="M52" s="286"/>
      <c r="N52" s="286"/>
      <c r="O52" s="286"/>
      <c r="P52" s="286"/>
      <c r="Q52" s="286"/>
      <c r="R52" s="286"/>
      <c r="S52" s="286"/>
    </row>
    <row r="53" spans="1:19" s="257" customFormat="1" ht="24.9" customHeight="1" x14ac:dyDescent="0.25">
      <c r="A53" s="336" t="s">
        <v>227</v>
      </c>
      <c r="B53" s="269"/>
      <c r="C53" s="345"/>
      <c r="D53" s="346"/>
      <c r="E53" s="272"/>
      <c r="F53" s="272"/>
      <c r="G53" s="273"/>
      <c r="H53" s="272"/>
      <c r="I53" s="268">
        <v>0</v>
      </c>
      <c r="J53" s="269"/>
      <c r="K53" s="274" t="s">
        <v>68</v>
      </c>
      <c r="L53" s="268"/>
      <c r="M53" s="274" t="s">
        <v>69</v>
      </c>
      <c r="N53" s="268"/>
      <c r="O53" s="274" t="s">
        <v>146</v>
      </c>
      <c r="P53" s="268"/>
      <c r="Q53" s="274" t="s">
        <v>152</v>
      </c>
      <c r="R53" s="268"/>
      <c r="S53" s="274" t="s">
        <v>153</v>
      </c>
    </row>
    <row r="54" spans="1:19" s="257" customFormat="1" ht="6" customHeight="1" x14ac:dyDescent="0.25">
      <c r="A54" s="337"/>
      <c r="B54" s="269"/>
      <c r="C54" s="287"/>
      <c r="D54" s="287"/>
      <c r="E54" s="288"/>
      <c r="F54" s="288"/>
      <c r="G54" s="288"/>
      <c r="H54" s="288"/>
      <c r="I54" s="268"/>
      <c r="J54" s="269"/>
      <c r="K54" s="268"/>
      <c r="L54" s="268"/>
      <c r="M54" s="268"/>
      <c r="N54" s="268"/>
      <c r="O54" s="268"/>
      <c r="P54" s="268"/>
      <c r="Q54" s="268"/>
      <c r="R54" s="268"/>
      <c r="S54" s="268"/>
    </row>
    <row r="55" spans="1:19" s="257" customFormat="1" ht="24.9" customHeight="1" x14ac:dyDescent="0.25">
      <c r="A55" s="337"/>
      <c r="B55" s="269"/>
      <c r="C55" s="338"/>
      <c r="D55" s="338"/>
      <c r="E55" s="272"/>
      <c r="F55" s="277"/>
      <c r="G55" s="273"/>
      <c r="H55" s="272"/>
      <c r="I55" s="268" t="s">
        <v>56</v>
      </c>
      <c r="J55" s="269"/>
      <c r="K55" s="274" t="s">
        <v>64</v>
      </c>
      <c r="L55" s="268"/>
      <c r="M55" s="274" t="s">
        <v>65</v>
      </c>
      <c r="N55" s="268"/>
      <c r="O55" s="274" t="s">
        <v>144</v>
      </c>
      <c r="P55" s="268"/>
      <c r="Q55" s="274" t="s">
        <v>148</v>
      </c>
      <c r="R55" s="268"/>
      <c r="S55" s="274" t="s">
        <v>149</v>
      </c>
    </row>
    <row r="56" spans="1:19" s="257" customFormat="1" ht="6" customHeight="1" x14ac:dyDescent="0.25">
      <c r="A56" s="337"/>
      <c r="B56" s="269"/>
      <c r="C56" s="287"/>
      <c r="D56" s="287"/>
      <c r="E56" s="288"/>
      <c r="F56" s="288"/>
      <c r="G56" s="288"/>
      <c r="H56" s="288"/>
      <c r="I56" s="268"/>
      <c r="J56" s="269"/>
      <c r="K56" s="268"/>
      <c r="L56" s="268"/>
      <c r="M56" s="268"/>
      <c r="N56" s="268"/>
      <c r="O56" s="268"/>
      <c r="P56" s="268"/>
      <c r="Q56" s="268"/>
      <c r="R56" s="268"/>
      <c r="S56" s="268"/>
    </row>
    <row r="57" spans="1:19" s="257" customFormat="1" ht="24.9" customHeight="1" x14ac:dyDescent="0.25">
      <c r="A57" s="337"/>
      <c r="B57" s="269"/>
      <c r="C57" s="338"/>
      <c r="D57" s="338"/>
      <c r="E57" s="272"/>
      <c r="F57" s="277"/>
      <c r="G57" s="273"/>
      <c r="H57" s="272"/>
      <c r="I57" s="268" t="s">
        <v>42</v>
      </c>
      <c r="J57" s="269"/>
      <c r="K57" s="274" t="s">
        <v>66</v>
      </c>
      <c r="L57" s="268"/>
      <c r="M57" s="274" t="s">
        <v>67</v>
      </c>
      <c r="N57" s="268"/>
      <c r="O57" s="274" t="s">
        <v>145</v>
      </c>
      <c r="P57" s="268"/>
      <c r="Q57" s="274" t="s">
        <v>150</v>
      </c>
      <c r="R57" s="268"/>
      <c r="S57" s="274" t="s">
        <v>151</v>
      </c>
    </row>
    <row r="58" spans="1:19" s="257" customFormat="1" ht="12" customHeight="1" x14ac:dyDescent="0.25">
      <c r="A58" s="269"/>
      <c r="B58" s="269"/>
      <c r="C58" s="289" t="s">
        <v>5</v>
      </c>
      <c r="D58" s="289"/>
      <c r="E58" s="289" t="s">
        <v>44</v>
      </c>
      <c r="F58" s="289" t="s">
        <v>50</v>
      </c>
      <c r="G58" s="289" t="s">
        <v>49</v>
      </c>
      <c r="H58" s="289" t="s">
        <v>48</v>
      </c>
      <c r="I58" s="285"/>
      <c r="J58" s="286"/>
      <c r="K58" s="290"/>
      <c r="L58" s="290"/>
      <c r="M58" s="290"/>
      <c r="N58" s="290"/>
      <c r="O58" s="290"/>
      <c r="P58" s="290"/>
      <c r="Q58" s="290"/>
      <c r="R58" s="290"/>
      <c r="S58" s="290"/>
    </row>
    <row r="59" spans="1:19" s="257" customFormat="1" ht="24.9" customHeight="1" x14ac:dyDescent="0.25">
      <c r="A59" s="336" t="s">
        <v>228</v>
      </c>
      <c r="B59" s="269"/>
      <c r="C59" s="338"/>
      <c r="D59" s="338"/>
      <c r="E59" s="272"/>
      <c r="F59" s="272"/>
      <c r="G59" s="273"/>
      <c r="H59" s="272"/>
      <c r="I59" s="268" t="s">
        <v>7</v>
      </c>
      <c r="J59" s="269"/>
      <c r="K59" s="274" t="s">
        <v>68</v>
      </c>
      <c r="L59" s="268"/>
      <c r="M59" s="274" t="s">
        <v>69</v>
      </c>
      <c r="N59" s="268"/>
      <c r="O59" s="274" t="s">
        <v>146</v>
      </c>
      <c r="P59" s="268"/>
      <c r="Q59" s="274" t="s">
        <v>152</v>
      </c>
      <c r="R59" s="268"/>
      <c r="S59" s="274" t="s">
        <v>153</v>
      </c>
    </row>
    <row r="60" spans="1:19" s="257" customFormat="1" ht="6" customHeight="1" x14ac:dyDescent="0.25">
      <c r="A60" s="337"/>
      <c r="B60" s="269"/>
      <c r="C60" s="287"/>
      <c r="D60" s="287"/>
      <c r="E60" s="288"/>
      <c r="F60" s="288"/>
      <c r="G60" s="288"/>
      <c r="H60" s="288"/>
      <c r="I60" s="268"/>
      <c r="J60" s="269"/>
      <c r="K60" s="268"/>
      <c r="L60" s="268"/>
      <c r="M60" s="268"/>
      <c r="N60" s="268"/>
      <c r="O60" s="268"/>
      <c r="P60" s="268"/>
      <c r="Q60" s="268"/>
      <c r="R60" s="268"/>
      <c r="S60" s="268"/>
    </row>
    <row r="61" spans="1:19" s="257" customFormat="1" ht="24.9" customHeight="1" x14ac:dyDescent="0.25">
      <c r="A61" s="337"/>
      <c r="B61" s="269"/>
      <c r="C61" s="338"/>
      <c r="D61" s="338"/>
      <c r="E61" s="272"/>
      <c r="F61" s="277"/>
      <c r="G61" s="273"/>
      <c r="H61" s="272"/>
      <c r="I61" s="268" t="s">
        <v>56</v>
      </c>
      <c r="J61" s="269"/>
      <c r="K61" s="274" t="s">
        <v>64</v>
      </c>
      <c r="L61" s="268"/>
      <c r="M61" s="274" t="s">
        <v>65</v>
      </c>
      <c r="N61" s="268"/>
      <c r="O61" s="274" t="s">
        <v>144</v>
      </c>
      <c r="P61" s="268"/>
      <c r="Q61" s="274" t="s">
        <v>148</v>
      </c>
      <c r="R61" s="268"/>
      <c r="S61" s="274" t="s">
        <v>149</v>
      </c>
    </row>
    <row r="62" spans="1:19" s="257" customFormat="1" ht="6.75" customHeight="1" x14ac:dyDescent="0.25">
      <c r="A62" s="337"/>
      <c r="B62" s="269"/>
      <c r="C62" s="287"/>
      <c r="D62" s="287"/>
      <c r="E62" s="288"/>
      <c r="F62" s="288"/>
      <c r="G62" s="288"/>
      <c r="H62" s="288"/>
      <c r="I62" s="268"/>
      <c r="J62" s="269"/>
      <c r="K62" s="268"/>
      <c r="L62" s="268"/>
      <c r="M62" s="268"/>
      <c r="N62" s="268"/>
      <c r="O62" s="268"/>
      <c r="P62" s="268"/>
      <c r="Q62" s="268"/>
      <c r="R62" s="268"/>
      <c r="S62" s="268"/>
    </row>
    <row r="63" spans="1:19" s="257" customFormat="1" ht="24.75" customHeight="1" x14ac:dyDescent="0.25">
      <c r="A63" s="337"/>
      <c r="B63" s="269"/>
      <c r="C63" s="338"/>
      <c r="D63" s="338"/>
      <c r="E63" s="272"/>
      <c r="F63" s="277"/>
      <c r="G63" s="273"/>
      <c r="H63" s="272"/>
      <c r="I63" s="268" t="s">
        <v>42</v>
      </c>
      <c r="J63" s="269"/>
      <c r="K63" s="274" t="s">
        <v>66</v>
      </c>
      <c r="L63" s="268"/>
      <c r="M63" s="274" t="s">
        <v>67</v>
      </c>
      <c r="N63" s="268"/>
      <c r="O63" s="274" t="s">
        <v>145</v>
      </c>
      <c r="P63" s="268"/>
      <c r="Q63" s="274" t="s">
        <v>150</v>
      </c>
      <c r="R63" s="268"/>
      <c r="S63" s="274" t="s">
        <v>151</v>
      </c>
    </row>
    <row r="64" spans="1:19" s="156" customFormat="1" ht="6" customHeight="1" x14ac:dyDescent="0.25">
      <c r="C64" s="291"/>
      <c r="D64" s="291"/>
      <c r="E64" s="291"/>
      <c r="F64" s="291"/>
      <c r="G64" s="291"/>
      <c r="H64" s="291"/>
      <c r="I64" s="291"/>
      <c r="J64" s="292"/>
      <c r="K64" s="292"/>
      <c r="L64" s="292"/>
      <c r="M64" s="292"/>
      <c r="N64" s="292"/>
      <c r="O64" s="292"/>
      <c r="P64" s="292"/>
      <c r="Q64" s="292"/>
      <c r="R64" s="292"/>
      <c r="S64" s="292"/>
    </row>
    <row r="65" spans="1:19" s="156" customFormat="1" ht="6" customHeight="1" x14ac:dyDescent="0.25">
      <c r="K65" s="157"/>
      <c r="M65" s="157"/>
      <c r="O65" s="157"/>
      <c r="Q65" s="157"/>
      <c r="S65" s="157"/>
    </row>
    <row r="66" spans="1:19" s="156" customFormat="1" ht="6" customHeight="1" x14ac:dyDescent="0.25">
      <c r="K66" s="157"/>
      <c r="M66" s="157"/>
      <c r="O66" s="157"/>
      <c r="Q66" s="157"/>
      <c r="S66" s="157"/>
    </row>
    <row r="67" spans="1:19" s="156" customFormat="1" ht="45" customHeight="1" x14ac:dyDescent="0.3">
      <c r="A67" s="260">
        <v>8</v>
      </c>
      <c r="C67" s="350" t="s">
        <v>229</v>
      </c>
      <c r="D67" s="350"/>
      <c r="E67" s="350"/>
      <c r="F67" s="350"/>
      <c r="G67" s="10" t="s">
        <v>51</v>
      </c>
      <c r="H67" s="259"/>
      <c r="I67" s="261" t="s">
        <v>52</v>
      </c>
      <c r="K67" s="157">
        <f>ROUND(IF($I67="1/2-time",K68,K69),0)</f>
        <v>0</v>
      </c>
      <c r="M67" s="157">
        <f>ROUND(IF($I$67="1/2-time",M68,M69),0)</f>
        <v>0</v>
      </c>
      <c r="O67" s="157">
        <f>ROUND(IF($I$67="1/2-time",O68,O69),0)</f>
        <v>0</v>
      </c>
      <c r="Q67" s="157">
        <f>ROUND(IF($I$67="1/2-time",Q68,Q69),0)</f>
        <v>0</v>
      </c>
      <c r="S67" s="157">
        <f>ROUND(IF($I$67="1/2-time",S68,S69),0)</f>
        <v>0</v>
      </c>
    </row>
    <row r="68" spans="1:19" s="156" customFormat="1" ht="14.25" hidden="1" customHeight="1" x14ac:dyDescent="0.25">
      <c r="A68" s="156">
        <v>8</v>
      </c>
      <c r="C68" s="341" t="s">
        <v>53</v>
      </c>
      <c r="D68" s="341"/>
      <c r="E68" s="341"/>
      <c r="F68" s="341"/>
      <c r="G68" s="259"/>
      <c r="H68" s="259"/>
      <c r="I68" s="259" t="s">
        <v>54</v>
      </c>
      <c r="K68" s="157">
        <f>+C74*VLOOKUP(K74,$I$181:$Q$207,5,FALSE)+C76*VLOOKUP(K76,$I$181:$Q$207,5,FALSE)+C78*VLOOKUP(K78,$I$181:$Q$207,5,FALSE)+C80*VLOOKUP(K80,$I$181:$Q$207,9,FALSE)+C82*VLOOKUP(K82,$I$181:$Q$207,9,FALSE)+C84*VLOOKUP(K84,$I$181:$Q$207,9,FALSE)</f>
        <v>0</v>
      </c>
      <c r="L68" s="157"/>
      <c r="M68" s="157">
        <f>+E74*VLOOKUP(M74,$I$181:$Q$207,5,FALSE)+E76*VLOOKUP(M76,$I$181:$Q$207,5,FALSE)+E78*VLOOKUP(M78,$I$181:$Q$207,5,FALSE)+E80*VLOOKUP(M80,$I$181:$Q$207,9,FALSE)+E82*VLOOKUP(M82,$I$181:$Q$207,9,FALSE)+E84*VLOOKUP(M84,$I$181:$Q$207,9,FALSE)</f>
        <v>0</v>
      </c>
      <c r="N68" s="157"/>
      <c r="O68" s="157">
        <f>+F74*VLOOKUP(O74,$I$181:$Q$207,5,FALSE)+F76*VLOOKUP(O76,$I$181:$Q$207,5,FALSE)+F78*VLOOKUP(O78,$I$181:$Q$207,5,FALSE)+F80*VLOOKUP(O80,$I$181:$Q$207,9,FALSE)+F82*VLOOKUP(O82,$I$181:$Q$207,9,FALSE)+F84*VLOOKUP(O84,$I$181:$Q$207,9,FALSE)</f>
        <v>0</v>
      </c>
      <c r="P68" s="157"/>
      <c r="Q68" s="157">
        <f>+G74*VLOOKUP(Q74,$I$181:$Q$207,5,FALSE)+G76*VLOOKUP(Q76,$I$181:$Q$207,5,FALSE)+G78*VLOOKUP(Q78,$I$181:$Q$207,5,FALSE)+G80*VLOOKUP(Q80,$I$181:$Q$207,9,FALSE)+G82*VLOOKUP(Q82,$I$181:$Q$207,9,FALSE)+G84*VLOOKUP(Q84,$I$181:$Q$207,9,FALSE)</f>
        <v>0</v>
      </c>
      <c r="R68" s="157"/>
      <c r="S68" s="157">
        <f>+H74*VLOOKUP(S74,$I$181:$Q$207,5,FALSE)+H76*VLOOKUP(S76,$I$181:$Q$207,5,FALSE)+H78*VLOOKUP(S78,$I$181:$Q$207,5,FALSE)+H80*VLOOKUP(S80,$I$181:$Q$207,9,FALSE)+H82*VLOOKUP(S82,$I$181:$Q$207,9,FALSE)+H84*VLOOKUP(S84,$I$181:$Q$207,9,FALSE)</f>
        <v>0</v>
      </c>
    </row>
    <row r="69" spans="1:19" s="156" customFormat="1" ht="21.75" hidden="1" customHeight="1" x14ac:dyDescent="0.25">
      <c r="A69" s="156">
        <v>8</v>
      </c>
      <c r="C69" s="341" t="s">
        <v>53</v>
      </c>
      <c r="D69" s="341"/>
      <c r="E69" s="341"/>
      <c r="F69" s="341"/>
      <c r="G69" s="259"/>
      <c r="H69" s="259"/>
      <c r="I69" s="259" t="s">
        <v>55</v>
      </c>
      <c r="K69" s="157">
        <f>+C74*VLOOKUP(K74,$I$181:$Q$207,3,FALSE)+C76*VLOOKUP(K76,$I$181:$Q$207,3,FALSE)+C78*VLOOKUP(K78,$I$181:$Q$207,3,FALSE)+C80*VLOOKUP(K80,$I$181:$Q$207,7,FALSE)+C82*VLOOKUP(K82,$I$181:$Q$207,7,FALSE)+C84*VLOOKUP(K84,$I$181:$Q$207,7,FALSE)</f>
        <v>0</v>
      </c>
      <c r="M69" s="157">
        <f>+E74*VLOOKUP(M74,$I$181:$Q$207,3,FALSE)+E76*VLOOKUP(M76,$I$181:$Q$207,3,FALSE)+E78*VLOOKUP(M78,$I$181:$Q$207,3,FALSE)+E80*VLOOKUP(M80,$I$181:$Q$207,7,FALSE)+E82*VLOOKUP(M82,$I$181:$Q$207,7,FALSE)+E84*VLOOKUP(M84,$I$181:$Q$207,7,FALSE)</f>
        <v>0</v>
      </c>
      <c r="O69" s="157">
        <f>+F74*VLOOKUP(O74,$I$181:$Q$207,3,FALSE)+F76*VLOOKUP(O76,$I$181:$Q$207,3,FALSE)+F78*VLOOKUP(O78,$I$181:$Q$207,3,FALSE)+F80*VLOOKUP(O80,$I$181:$Q$207,7,FALSE)+F82*VLOOKUP(O82,$I$181:$Q$207,7,FALSE)+F84*VLOOKUP(O84,$I$181:$Q$207,7,FALSE)</f>
        <v>0</v>
      </c>
      <c r="Q69" s="157">
        <f>+G74*VLOOKUP(Q74,$I$181:$Q$207,3,FALSE)+G76*VLOOKUP(Q76,$I$181:$Q$207,3,FALSE)+G78*VLOOKUP(Q78,$I$181:$Q$207,3,FALSE)+G80*VLOOKUP(Q80,$I$181:$Q$207,7,FALSE)+G82*VLOOKUP(Q82,$I$181:$Q$207,7,FALSE)+G84*VLOOKUP(Q84,$I$181:$Q$207,7,FALSE)</f>
        <v>0</v>
      </c>
      <c r="S69" s="157">
        <f>+H74*VLOOKUP(S74,$I$181:$Q$207,3,FALSE)+H76*VLOOKUP(S76,$I$181:$Q$207,3,FALSE)+H78*VLOOKUP(S78,$I$181:$Q$207,3,FALSE)+H80*VLOOKUP(S80,$I$181:$Q$207,7,FALSE)+H82*VLOOKUP(S82,$I$181:$Q$207,7,FALSE)+H84*VLOOKUP(S84,$I$181:$Q$207,7,FALSE)</f>
        <v>0</v>
      </c>
    </row>
    <row r="70" spans="1:19" s="156" customFormat="1" ht="15" x14ac:dyDescent="0.25">
      <c r="C70" s="262"/>
      <c r="D70" s="262"/>
      <c r="E70" s="262"/>
      <c r="F70" s="262"/>
      <c r="G70" s="262"/>
      <c r="H70" s="262"/>
      <c r="I70" s="263"/>
      <c r="J70" s="264"/>
      <c r="K70" s="264"/>
      <c r="L70" s="264"/>
      <c r="M70" s="264"/>
      <c r="N70" s="264"/>
      <c r="O70" s="264"/>
      <c r="P70" s="264"/>
      <c r="Q70" s="264"/>
      <c r="R70" s="264"/>
      <c r="S70" s="264"/>
    </row>
    <row r="71" spans="1:19" s="257" customFormat="1" ht="30.75" customHeight="1" x14ac:dyDescent="0.25">
      <c r="A71" s="265"/>
      <c r="C71" s="266"/>
      <c r="D71" s="266"/>
      <c r="E71" s="266"/>
      <c r="F71" s="267"/>
      <c r="G71" s="267"/>
      <c r="H71" s="266"/>
      <c r="I71" s="268"/>
      <c r="J71" s="269"/>
      <c r="K71" s="268"/>
      <c r="L71" s="268"/>
      <c r="M71" s="268"/>
      <c r="N71" s="268"/>
      <c r="O71" s="268"/>
      <c r="P71" s="268"/>
      <c r="Q71" s="268"/>
      <c r="R71" s="268"/>
      <c r="S71" s="268"/>
    </row>
    <row r="72" spans="1:19" s="257" customFormat="1" ht="24.9" customHeight="1" x14ac:dyDescent="0.25">
      <c r="A72" s="284"/>
      <c r="B72" s="269"/>
      <c r="C72" s="342" t="s">
        <v>230</v>
      </c>
      <c r="D72" s="343"/>
      <c r="E72" s="343"/>
      <c r="F72" s="343"/>
      <c r="G72" s="343"/>
      <c r="H72" s="344"/>
      <c r="I72" s="268"/>
      <c r="J72" s="269"/>
      <c r="K72" s="157"/>
      <c r="L72" s="268"/>
      <c r="M72" s="157"/>
      <c r="N72" s="283"/>
      <c r="O72" s="157"/>
      <c r="P72" s="283"/>
      <c r="Q72" s="157"/>
      <c r="R72" s="283"/>
      <c r="S72" s="157"/>
    </row>
    <row r="73" spans="1:19" s="257" customFormat="1" ht="12" customHeight="1" x14ac:dyDescent="0.25">
      <c r="A73" s="269"/>
      <c r="B73" s="269"/>
      <c r="C73" s="285" t="s">
        <v>5</v>
      </c>
      <c r="D73" s="285"/>
      <c r="E73" s="285" t="s">
        <v>44</v>
      </c>
      <c r="F73" s="285" t="s">
        <v>50</v>
      </c>
      <c r="G73" s="285" t="s">
        <v>49</v>
      </c>
      <c r="H73" s="285" t="s">
        <v>48</v>
      </c>
      <c r="I73" s="285"/>
      <c r="J73" s="286"/>
      <c r="K73" s="286"/>
      <c r="L73" s="286"/>
      <c r="M73" s="286"/>
      <c r="N73" s="286"/>
      <c r="O73" s="286"/>
      <c r="P73" s="286"/>
      <c r="Q73" s="286"/>
      <c r="R73" s="286"/>
      <c r="S73" s="286"/>
    </row>
    <row r="74" spans="1:19" s="257" customFormat="1" ht="24.9" customHeight="1" x14ac:dyDescent="0.25">
      <c r="A74" s="336" t="s">
        <v>227</v>
      </c>
      <c r="B74" s="269"/>
      <c r="C74" s="345"/>
      <c r="D74" s="346"/>
      <c r="E74" s="272"/>
      <c r="F74" s="272"/>
      <c r="G74" s="273"/>
      <c r="H74" s="272"/>
      <c r="I74" s="268" t="s">
        <v>7</v>
      </c>
      <c r="J74" s="269"/>
      <c r="K74" s="274" t="s">
        <v>68</v>
      </c>
      <c r="L74" s="268"/>
      <c r="M74" s="274" t="s">
        <v>69</v>
      </c>
      <c r="N74" s="268"/>
      <c r="O74" s="274" t="s">
        <v>146</v>
      </c>
      <c r="P74" s="268"/>
      <c r="Q74" s="274" t="s">
        <v>152</v>
      </c>
      <c r="R74" s="268"/>
      <c r="S74" s="274" t="s">
        <v>153</v>
      </c>
    </row>
    <row r="75" spans="1:19" s="257" customFormat="1" ht="6" customHeight="1" x14ac:dyDescent="0.25">
      <c r="A75" s="337"/>
      <c r="B75" s="269"/>
      <c r="C75" s="287"/>
      <c r="D75" s="287"/>
      <c r="E75" s="288"/>
      <c r="F75" s="288"/>
      <c r="G75" s="288"/>
      <c r="H75" s="288"/>
      <c r="I75" s="268"/>
      <c r="J75" s="269"/>
      <c r="K75" s="268"/>
      <c r="L75" s="268"/>
      <c r="M75" s="268"/>
      <c r="N75" s="268"/>
      <c r="O75" s="268"/>
      <c r="P75" s="268"/>
      <c r="Q75" s="268"/>
      <c r="R75" s="268"/>
      <c r="S75" s="268"/>
    </row>
    <row r="76" spans="1:19" s="257" customFormat="1" ht="24.9" customHeight="1" x14ac:dyDescent="0.25">
      <c r="A76" s="337"/>
      <c r="B76" s="269"/>
      <c r="C76" s="338"/>
      <c r="D76" s="338"/>
      <c r="E76" s="272"/>
      <c r="F76" s="277"/>
      <c r="G76" s="273"/>
      <c r="H76" s="272"/>
      <c r="I76" s="268" t="s">
        <v>56</v>
      </c>
      <c r="J76" s="269"/>
      <c r="K76" s="274" t="s">
        <v>64</v>
      </c>
      <c r="L76" s="268"/>
      <c r="M76" s="274" t="s">
        <v>65</v>
      </c>
      <c r="N76" s="268"/>
      <c r="O76" s="274" t="s">
        <v>144</v>
      </c>
      <c r="P76" s="268"/>
      <c r="Q76" s="274" t="s">
        <v>148</v>
      </c>
      <c r="R76" s="268"/>
      <c r="S76" s="274" t="s">
        <v>149</v>
      </c>
    </row>
    <row r="77" spans="1:19" s="257" customFormat="1" ht="6" customHeight="1" x14ac:dyDescent="0.25">
      <c r="A77" s="337"/>
      <c r="B77" s="269"/>
      <c r="C77" s="287"/>
      <c r="D77" s="287"/>
      <c r="E77" s="288"/>
      <c r="F77" s="288"/>
      <c r="G77" s="288"/>
      <c r="H77" s="288"/>
      <c r="I77" s="268"/>
      <c r="J77" s="269"/>
      <c r="K77" s="268"/>
      <c r="L77" s="268"/>
      <c r="M77" s="268"/>
      <c r="N77" s="268"/>
      <c r="O77" s="268"/>
      <c r="P77" s="268"/>
      <c r="Q77" s="268"/>
      <c r="R77" s="268"/>
      <c r="S77" s="268"/>
    </row>
    <row r="78" spans="1:19" s="257" customFormat="1" ht="24.9" customHeight="1" x14ac:dyDescent="0.25">
      <c r="A78" s="337"/>
      <c r="B78" s="269"/>
      <c r="C78" s="338"/>
      <c r="D78" s="338"/>
      <c r="E78" s="272"/>
      <c r="F78" s="277"/>
      <c r="G78" s="273"/>
      <c r="H78" s="272"/>
      <c r="I78" s="268" t="s">
        <v>42</v>
      </c>
      <c r="J78" s="269"/>
      <c r="K78" s="274" t="s">
        <v>66</v>
      </c>
      <c r="L78" s="268"/>
      <c r="M78" s="274" t="s">
        <v>67</v>
      </c>
      <c r="N78" s="268"/>
      <c r="O78" s="274" t="s">
        <v>145</v>
      </c>
      <c r="P78" s="268"/>
      <c r="Q78" s="274" t="s">
        <v>150</v>
      </c>
      <c r="R78" s="268"/>
      <c r="S78" s="274" t="s">
        <v>151</v>
      </c>
    </row>
    <row r="79" spans="1:19" s="257" customFormat="1" ht="12" customHeight="1" x14ac:dyDescent="0.25">
      <c r="A79" s="269"/>
      <c r="B79" s="269"/>
      <c r="C79" s="289" t="s">
        <v>5</v>
      </c>
      <c r="D79" s="289"/>
      <c r="E79" s="289" t="s">
        <v>44</v>
      </c>
      <c r="F79" s="289" t="s">
        <v>50</v>
      </c>
      <c r="G79" s="289" t="s">
        <v>49</v>
      </c>
      <c r="H79" s="289" t="s">
        <v>48</v>
      </c>
      <c r="I79" s="285"/>
      <c r="J79" s="286"/>
      <c r="K79" s="290"/>
      <c r="L79" s="290"/>
      <c r="M79" s="290"/>
      <c r="N79" s="290"/>
      <c r="O79" s="290"/>
      <c r="P79" s="290"/>
      <c r="Q79" s="290"/>
      <c r="R79" s="290"/>
      <c r="S79" s="290"/>
    </row>
    <row r="80" spans="1:19" s="257" customFormat="1" ht="24.9" customHeight="1" x14ac:dyDescent="0.25">
      <c r="A80" s="336" t="s">
        <v>228</v>
      </c>
      <c r="B80" s="269"/>
      <c r="C80" s="338"/>
      <c r="D80" s="338"/>
      <c r="E80" s="272"/>
      <c r="F80" s="272"/>
      <c r="G80" s="273"/>
      <c r="H80" s="272"/>
      <c r="I80" s="268" t="s">
        <v>7</v>
      </c>
      <c r="J80" s="269"/>
      <c r="K80" s="274" t="s">
        <v>68</v>
      </c>
      <c r="L80" s="268"/>
      <c r="M80" s="274" t="s">
        <v>69</v>
      </c>
      <c r="N80" s="268"/>
      <c r="O80" s="274" t="s">
        <v>146</v>
      </c>
      <c r="P80" s="268"/>
      <c r="Q80" s="274" t="s">
        <v>152</v>
      </c>
      <c r="R80" s="268"/>
      <c r="S80" s="274" t="s">
        <v>153</v>
      </c>
    </row>
    <row r="81" spans="1:20" s="257" customFormat="1" ht="6" customHeight="1" x14ac:dyDescent="0.25">
      <c r="A81" s="337"/>
      <c r="B81" s="269"/>
      <c r="C81" s="287"/>
      <c r="D81" s="287"/>
      <c r="E81" s="288"/>
      <c r="F81" s="288"/>
      <c r="G81" s="288"/>
      <c r="H81" s="288"/>
      <c r="I81" s="268"/>
      <c r="J81" s="269"/>
      <c r="K81" s="268"/>
      <c r="L81" s="268"/>
      <c r="M81" s="268"/>
      <c r="N81" s="268"/>
      <c r="O81" s="268"/>
      <c r="P81" s="268"/>
      <c r="Q81" s="268"/>
      <c r="R81" s="268"/>
      <c r="S81" s="268"/>
    </row>
    <row r="82" spans="1:20" s="257" customFormat="1" ht="24.9" customHeight="1" x14ac:dyDescent="0.25">
      <c r="A82" s="337"/>
      <c r="B82" s="269"/>
      <c r="C82" s="338"/>
      <c r="D82" s="338"/>
      <c r="E82" s="272"/>
      <c r="F82" s="277"/>
      <c r="G82" s="273"/>
      <c r="H82" s="272"/>
      <c r="I82" s="268" t="s">
        <v>56</v>
      </c>
      <c r="J82" s="269"/>
      <c r="K82" s="274" t="s">
        <v>64</v>
      </c>
      <c r="L82" s="268"/>
      <c r="M82" s="274" t="s">
        <v>65</v>
      </c>
      <c r="N82" s="268"/>
      <c r="O82" s="274" t="s">
        <v>144</v>
      </c>
      <c r="P82" s="268"/>
      <c r="Q82" s="274" t="s">
        <v>148</v>
      </c>
      <c r="R82" s="268"/>
      <c r="S82" s="274" t="s">
        <v>149</v>
      </c>
    </row>
    <row r="83" spans="1:20" s="257" customFormat="1" ht="6.75" customHeight="1" x14ac:dyDescent="0.25">
      <c r="A83" s="337"/>
      <c r="B83" s="269"/>
      <c r="C83" s="287"/>
      <c r="D83" s="287"/>
      <c r="E83" s="288"/>
      <c r="F83" s="288"/>
      <c r="G83" s="288"/>
      <c r="H83" s="288"/>
      <c r="I83" s="268"/>
      <c r="J83" s="269"/>
      <c r="K83" s="268"/>
      <c r="L83" s="268"/>
      <c r="M83" s="268"/>
      <c r="N83" s="268"/>
      <c r="O83" s="268"/>
      <c r="P83" s="268"/>
      <c r="Q83" s="268"/>
      <c r="R83" s="268"/>
      <c r="S83" s="268"/>
    </row>
    <row r="84" spans="1:20" s="257" customFormat="1" ht="24.75" customHeight="1" x14ac:dyDescent="0.25">
      <c r="A84" s="337"/>
      <c r="B84" s="269"/>
      <c r="C84" s="338"/>
      <c r="D84" s="338"/>
      <c r="E84" s="272"/>
      <c r="F84" s="277"/>
      <c r="G84" s="273"/>
      <c r="H84" s="272"/>
      <c r="I84" s="268" t="s">
        <v>42</v>
      </c>
      <c r="J84" s="269"/>
      <c r="K84" s="274" t="s">
        <v>66</v>
      </c>
      <c r="L84" s="268"/>
      <c r="M84" s="274" t="s">
        <v>67</v>
      </c>
      <c r="N84" s="268"/>
      <c r="O84" s="274" t="s">
        <v>145</v>
      </c>
      <c r="P84" s="268"/>
      <c r="Q84" s="274" t="s">
        <v>150</v>
      </c>
      <c r="R84" s="268"/>
      <c r="S84" s="274" t="s">
        <v>151</v>
      </c>
    </row>
    <row r="85" spans="1:20" s="156" customFormat="1" ht="28.5" customHeight="1" x14ac:dyDescent="0.25">
      <c r="A85" s="339" t="s">
        <v>231</v>
      </c>
      <c r="B85" s="340"/>
      <c r="C85" s="340"/>
      <c r="D85" s="340"/>
      <c r="E85" s="340"/>
      <c r="F85" s="340"/>
      <c r="G85" s="340"/>
      <c r="H85" s="340"/>
      <c r="I85" s="340"/>
      <c r="K85" s="157"/>
      <c r="M85" s="157"/>
      <c r="O85" s="157"/>
      <c r="Q85" s="157"/>
      <c r="S85" s="157"/>
    </row>
    <row r="86" spans="1:20" s="156" customFormat="1" ht="6" customHeight="1" x14ac:dyDescent="0.25">
      <c r="A86" s="340"/>
      <c r="B86" s="340"/>
      <c r="C86" s="340"/>
      <c r="D86" s="340"/>
      <c r="E86" s="340"/>
      <c r="F86" s="340"/>
      <c r="G86" s="340"/>
      <c r="H86" s="340"/>
      <c r="I86" s="340"/>
      <c r="K86" s="157"/>
      <c r="M86" s="157"/>
      <c r="O86" s="157"/>
      <c r="Q86" s="157"/>
      <c r="S86" s="157"/>
    </row>
    <row r="87" spans="1:20" s="156" customFormat="1" ht="15" hidden="1" x14ac:dyDescent="0.25">
      <c r="C87" s="158"/>
      <c r="D87" s="158"/>
      <c r="E87" s="158"/>
      <c r="F87" s="158"/>
      <c r="G87" s="158"/>
      <c r="H87" s="158"/>
      <c r="I87" s="294"/>
      <c r="J87" s="295"/>
      <c r="K87" s="296" t="s">
        <v>58</v>
      </c>
      <c r="L87" s="295"/>
      <c r="M87" s="296" t="s">
        <v>59</v>
      </c>
      <c r="N87" s="295"/>
      <c r="O87" s="296" t="s">
        <v>60</v>
      </c>
      <c r="P87" s="295"/>
      <c r="Q87" s="296" t="s">
        <v>61</v>
      </c>
      <c r="R87" s="295"/>
      <c r="S87" s="296" t="s">
        <v>62</v>
      </c>
      <c r="T87" s="295"/>
    </row>
    <row r="88" spans="1:20" s="156" customFormat="1" ht="12" hidden="1" customHeight="1" x14ac:dyDescent="0.25">
      <c r="I88" s="295"/>
      <c r="J88" s="295"/>
      <c r="K88" s="295"/>
      <c r="L88" s="295"/>
      <c r="M88" s="296"/>
      <c r="N88" s="295"/>
      <c r="O88" s="296"/>
      <c r="P88" s="295"/>
      <c r="Q88" s="296"/>
      <c r="R88" s="295"/>
      <c r="S88" s="295">
        <v>1.042</v>
      </c>
      <c r="T88" s="295"/>
    </row>
    <row r="89" spans="1:20" s="156" customFormat="1" ht="12.75" hidden="1" customHeight="1" x14ac:dyDescent="0.3">
      <c r="C89" s="154"/>
      <c r="D89" s="154"/>
      <c r="E89" s="154"/>
      <c r="F89" s="154"/>
      <c r="G89" s="154"/>
      <c r="H89" s="154"/>
      <c r="I89" s="297"/>
      <c r="J89" s="298"/>
      <c r="K89" s="295"/>
      <c r="L89" s="295"/>
      <c r="M89" s="296"/>
      <c r="N89" s="295"/>
      <c r="O89" s="296"/>
      <c r="P89" s="295"/>
      <c r="Q89" s="296"/>
      <c r="R89" s="295"/>
      <c r="S89" s="299" t="s">
        <v>63</v>
      </c>
      <c r="T89" s="295"/>
    </row>
    <row r="90" spans="1:20" s="156" customFormat="1" ht="12.75" hidden="1" customHeight="1" x14ac:dyDescent="0.3">
      <c r="C90" s="153"/>
      <c r="D90" s="153"/>
      <c r="E90" s="153"/>
      <c r="F90" s="153"/>
      <c r="G90" s="153"/>
      <c r="H90" s="153"/>
      <c r="I90" s="297"/>
      <c r="J90" s="298"/>
      <c r="K90" s="295"/>
      <c r="L90" s="295"/>
      <c r="M90" s="296"/>
      <c r="N90" s="295"/>
      <c r="O90" s="296"/>
      <c r="P90" s="295"/>
      <c r="Q90" s="296"/>
      <c r="R90" s="299"/>
      <c r="S90" s="299" t="s">
        <v>52</v>
      </c>
      <c r="T90" s="295"/>
    </row>
    <row r="91" spans="1:20" s="156" customFormat="1" ht="12.75" hidden="1" customHeight="1" x14ac:dyDescent="0.25">
      <c r="C91" s="158"/>
      <c r="D91" s="158"/>
      <c r="E91" s="158"/>
      <c r="F91" s="158"/>
      <c r="G91" s="158"/>
      <c r="H91" s="158"/>
      <c r="I91" s="300" t="s">
        <v>64</v>
      </c>
      <c r="J91" s="301"/>
      <c r="K91" s="302">
        <f>Q91/4</f>
        <v>1118</v>
      </c>
      <c r="L91" s="301"/>
      <c r="M91" s="302">
        <f>O91</f>
        <v>2236</v>
      </c>
      <c r="N91" s="301"/>
      <c r="O91" s="302">
        <f>Q91/2</f>
        <v>2236</v>
      </c>
      <c r="P91" s="301"/>
      <c r="Q91" s="302">
        <v>4472</v>
      </c>
      <c r="R91" s="295"/>
      <c r="S91" s="296"/>
      <c r="T91" s="295"/>
    </row>
    <row r="92" spans="1:20" s="156" customFormat="1" ht="12.75" hidden="1" customHeight="1" x14ac:dyDescent="0.25">
      <c r="C92" s="154"/>
      <c r="D92" s="154"/>
      <c r="E92" s="154"/>
      <c r="F92" s="154"/>
      <c r="G92" s="154"/>
      <c r="H92" s="154"/>
      <c r="I92" s="300" t="s">
        <v>65</v>
      </c>
      <c r="J92" s="301"/>
      <c r="K92" s="303">
        <f>K91*$S$88</f>
        <v>1164.9560000000001</v>
      </c>
      <c r="L92" s="303">
        <f t="shared" ref="L92:Q98" si="0">L91*$S$88</f>
        <v>0</v>
      </c>
      <c r="M92" s="303">
        <f>M91*$S$88</f>
        <v>2329.9120000000003</v>
      </c>
      <c r="N92" s="303">
        <f t="shared" si="0"/>
        <v>0</v>
      </c>
      <c r="O92" s="303">
        <f>Q92/2</f>
        <v>2329.9120000000003</v>
      </c>
      <c r="P92" s="303">
        <f t="shared" si="0"/>
        <v>0</v>
      </c>
      <c r="Q92" s="303">
        <f>Q91*$S$88</f>
        <v>4659.8240000000005</v>
      </c>
      <c r="R92" s="295"/>
      <c r="S92" s="296"/>
      <c r="T92" s="295"/>
    </row>
    <row r="93" spans="1:20" s="156" customFormat="1" ht="12.75" hidden="1" customHeight="1" x14ac:dyDescent="0.25">
      <c r="C93" s="158"/>
      <c r="D93" s="158"/>
      <c r="E93" s="158"/>
      <c r="F93" s="158"/>
      <c r="G93" s="158"/>
      <c r="H93" s="158"/>
      <c r="I93" s="300" t="s">
        <v>144</v>
      </c>
      <c r="J93" s="301"/>
      <c r="K93" s="303">
        <f t="shared" ref="K93:K98" si="1">K92*$S$88</f>
        <v>1213.8841520000001</v>
      </c>
      <c r="L93" s="301"/>
      <c r="M93" s="303">
        <f t="shared" si="0"/>
        <v>2427.7683040000002</v>
      </c>
      <c r="N93" s="301"/>
      <c r="O93" s="303">
        <f t="shared" si="0"/>
        <v>2427.7683040000002</v>
      </c>
      <c r="P93" s="301"/>
      <c r="Q93" s="303">
        <f t="shared" si="0"/>
        <v>4855.5366080000003</v>
      </c>
      <c r="R93" s="295"/>
      <c r="S93" s="296"/>
      <c r="T93" s="295"/>
    </row>
    <row r="94" spans="1:20" s="156" customFormat="1" ht="12.75" hidden="1" customHeight="1" x14ac:dyDescent="0.25">
      <c r="C94" s="158"/>
      <c r="D94" s="158"/>
      <c r="E94" s="158"/>
      <c r="F94" s="158"/>
      <c r="G94" s="158"/>
      <c r="H94" s="158"/>
      <c r="I94" s="300" t="s">
        <v>148</v>
      </c>
      <c r="J94" s="301"/>
      <c r="K94" s="303">
        <f t="shared" si="1"/>
        <v>1264.8672863840002</v>
      </c>
      <c r="L94" s="301"/>
      <c r="M94" s="303">
        <f t="shared" si="0"/>
        <v>2529.7345727680004</v>
      </c>
      <c r="N94" s="301"/>
      <c r="O94" s="303">
        <f t="shared" si="0"/>
        <v>2529.7345727680004</v>
      </c>
      <c r="P94" s="301"/>
      <c r="Q94" s="303">
        <f>Q93*$S$88</f>
        <v>5059.4691455360007</v>
      </c>
      <c r="R94" s="295"/>
      <c r="S94" s="296"/>
      <c r="T94" s="295"/>
    </row>
    <row r="95" spans="1:20" s="156" customFormat="1" ht="12.75" hidden="1" customHeight="1" x14ac:dyDescent="0.25">
      <c r="C95" s="158"/>
      <c r="D95" s="158"/>
      <c r="E95" s="158"/>
      <c r="F95" s="158"/>
      <c r="G95" s="158"/>
      <c r="H95" s="158"/>
      <c r="I95" s="300" t="s">
        <v>149</v>
      </c>
      <c r="J95" s="301"/>
      <c r="K95" s="303">
        <f t="shared" si="1"/>
        <v>1317.9917124121282</v>
      </c>
      <c r="L95" s="301"/>
      <c r="M95" s="303">
        <f t="shared" si="0"/>
        <v>2635.9834248242564</v>
      </c>
      <c r="N95" s="301"/>
      <c r="O95" s="303">
        <f t="shared" si="0"/>
        <v>2635.9834248242564</v>
      </c>
      <c r="P95" s="301"/>
      <c r="Q95" s="303">
        <f>Q94*$S$88</f>
        <v>5271.9668496485128</v>
      </c>
      <c r="R95" s="295"/>
      <c r="S95" s="296"/>
      <c r="T95" s="295"/>
    </row>
    <row r="96" spans="1:20" s="156" customFormat="1" ht="12.75" hidden="1" customHeight="1" x14ac:dyDescent="0.25">
      <c r="C96" s="158"/>
      <c r="D96" s="158"/>
      <c r="E96" s="158"/>
      <c r="F96" s="158"/>
      <c r="G96" s="158"/>
      <c r="H96" s="158"/>
      <c r="I96" s="300" t="s">
        <v>167</v>
      </c>
      <c r="J96" s="301"/>
      <c r="K96" s="303">
        <f t="shared" si="1"/>
        <v>1373.3473643334376</v>
      </c>
      <c r="L96" s="301"/>
      <c r="M96" s="303">
        <f t="shared" si="0"/>
        <v>2746.6947286668751</v>
      </c>
      <c r="N96" s="301"/>
      <c r="O96" s="303">
        <f t="shared" si="0"/>
        <v>2746.6947286668751</v>
      </c>
      <c r="P96" s="301"/>
      <c r="Q96" s="303">
        <f>Q95*$S$88</f>
        <v>5493.3894573337502</v>
      </c>
      <c r="R96" s="295"/>
      <c r="S96" s="296"/>
      <c r="T96" s="295"/>
    </row>
    <row r="97" spans="3:20" s="156" customFormat="1" ht="12.75" hidden="1" customHeight="1" x14ac:dyDescent="0.25">
      <c r="C97" s="158"/>
      <c r="D97" s="158"/>
      <c r="E97" s="158"/>
      <c r="F97" s="158"/>
      <c r="G97" s="158"/>
      <c r="H97" s="158"/>
      <c r="I97" s="300" t="s">
        <v>171</v>
      </c>
      <c r="J97" s="301"/>
      <c r="K97" s="303">
        <f t="shared" si="1"/>
        <v>1431.0279536354419</v>
      </c>
      <c r="L97" s="301"/>
      <c r="M97" s="303">
        <f t="shared" si="0"/>
        <v>2862.0559072708838</v>
      </c>
      <c r="N97" s="301"/>
      <c r="O97" s="303">
        <f t="shared" si="0"/>
        <v>2862.0559072708838</v>
      </c>
      <c r="P97" s="301"/>
      <c r="Q97" s="303">
        <f>Q96*$S$88</f>
        <v>5724.1118145417677</v>
      </c>
      <c r="R97" s="295"/>
      <c r="S97" s="296"/>
      <c r="T97" s="295"/>
    </row>
    <row r="98" spans="3:20" s="156" customFormat="1" ht="12.75" hidden="1" customHeight="1" x14ac:dyDescent="0.25">
      <c r="C98" s="158"/>
      <c r="D98" s="158"/>
      <c r="E98" s="158"/>
      <c r="F98" s="158"/>
      <c r="G98" s="158"/>
      <c r="H98" s="158"/>
      <c r="I98" s="300" t="s">
        <v>232</v>
      </c>
      <c r="J98" s="301"/>
      <c r="K98" s="303">
        <f t="shared" si="1"/>
        <v>1491.1311276881306</v>
      </c>
      <c r="L98" s="301"/>
      <c r="M98" s="303">
        <f t="shared" si="0"/>
        <v>2982.2622553762612</v>
      </c>
      <c r="N98" s="301"/>
      <c r="O98" s="303">
        <f t="shared" si="0"/>
        <v>2982.2622553762612</v>
      </c>
      <c r="P98" s="301"/>
      <c r="Q98" s="303">
        <f t="shared" si="0"/>
        <v>5964.5245107525225</v>
      </c>
      <c r="R98" s="295"/>
      <c r="S98" s="296"/>
      <c r="T98" s="295"/>
    </row>
    <row r="99" spans="3:20" s="156" customFormat="1" ht="12.75" hidden="1" customHeight="1" x14ac:dyDescent="0.25">
      <c r="C99" s="158"/>
      <c r="D99" s="158"/>
      <c r="E99" s="158"/>
      <c r="F99" s="158"/>
      <c r="G99" s="158"/>
      <c r="H99" s="158"/>
      <c r="I99" s="300"/>
      <c r="J99" s="304"/>
      <c r="K99" s="305"/>
      <c r="L99" s="301"/>
      <c r="M99" s="305"/>
      <c r="N99" s="301"/>
      <c r="O99" s="305"/>
      <c r="P99" s="301"/>
      <c r="Q99" s="305"/>
      <c r="R99" s="295"/>
      <c r="S99" s="296"/>
      <c r="T99" s="295"/>
    </row>
    <row r="100" spans="3:20" s="156" customFormat="1" ht="12.75" hidden="1" customHeight="1" x14ac:dyDescent="0.25">
      <c r="C100" s="158"/>
      <c r="D100" s="158"/>
      <c r="E100" s="158"/>
      <c r="F100" s="158"/>
      <c r="G100" s="158"/>
      <c r="H100" s="158"/>
      <c r="I100" s="300" t="s">
        <v>66</v>
      </c>
      <c r="J100" s="304"/>
      <c r="K100" s="306">
        <f>Q100/4</f>
        <v>1118</v>
      </c>
      <c r="L100" s="301"/>
      <c r="M100" s="306">
        <f>Q100/2</f>
        <v>2236</v>
      </c>
      <c r="N100" s="301"/>
      <c r="O100" s="306">
        <f>Q100/2</f>
        <v>2236</v>
      </c>
      <c r="P100" s="301"/>
      <c r="Q100" s="306">
        <v>4472</v>
      </c>
      <c r="R100" s="295"/>
      <c r="S100" s="296"/>
      <c r="T100" s="295"/>
    </row>
    <row r="101" spans="3:20" s="156" customFormat="1" ht="12.75" hidden="1" customHeight="1" x14ac:dyDescent="0.25">
      <c r="C101" s="154"/>
      <c r="D101" s="154"/>
      <c r="E101" s="154"/>
      <c r="F101" s="154"/>
      <c r="G101" s="154"/>
      <c r="H101" s="154"/>
      <c r="I101" s="300" t="s">
        <v>67</v>
      </c>
      <c r="J101" s="301"/>
      <c r="K101" s="303">
        <f>M101/2</f>
        <v>1164.9560000000001</v>
      </c>
      <c r="L101" s="301"/>
      <c r="M101" s="303">
        <f>O101</f>
        <v>2329.9120000000003</v>
      </c>
      <c r="N101" s="301"/>
      <c r="O101" s="303">
        <f>Q101/2</f>
        <v>2329.9120000000003</v>
      </c>
      <c r="P101" s="301"/>
      <c r="Q101" s="303">
        <f>Q100*$S$88</f>
        <v>4659.8240000000005</v>
      </c>
      <c r="R101" s="295"/>
      <c r="S101" s="296"/>
      <c r="T101" s="295"/>
    </row>
    <row r="102" spans="3:20" s="156" customFormat="1" ht="12.75" hidden="1" customHeight="1" x14ac:dyDescent="0.25">
      <c r="C102" s="158"/>
      <c r="D102" s="152"/>
      <c r="E102" s="158"/>
      <c r="F102" s="158"/>
      <c r="G102" s="158"/>
      <c r="H102" s="158"/>
      <c r="I102" s="300" t="s">
        <v>145</v>
      </c>
      <c r="J102" s="301"/>
      <c r="K102" s="303">
        <f t="shared" ref="K102:K107" si="2">K101*$S$88</f>
        <v>1213.8841520000001</v>
      </c>
      <c r="L102" s="301"/>
      <c r="M102" s="303">
        <f t="shared" ref="M102:M107" si="3">M101*$S$88</f>
        <v>2427.7683040000002</v>
      </c>
      <c r="N102" s="301"/>
      <c r="O102" s="303">
        <f t="shared" ref="O102:O107" si="4">O101*$S$88</f>
        <v>2427.7683040000002</v>
      </c>
      <c r="P102" s="301"/>
      <c r="Q102" s="303">
        <f>Q101*$S$88</f>
        <v>4855.5366080000003</v>
      </c>
      <c r="R102" s="295"/>
      <c r="S102" s="296"/>
      <c r="T102" s="295"/>
    </row>
    <row r="103" spans="3:20" s="156" customFormat="1" ht="12.75" hidden="1" customHeight="1" x14ac:dyDescent="0.25">
      <c r="C103" s="154"/>
      <c r="D103" s="154"/>
      <c r="E103" s="154"/>
      <c r="F103" s="154"/>
      <c r="G103" s="154"/>
      <c r="H103" s="154"/>
      <c r="I103" s="300" t="s">
        <v>150</v>
      </c>
      <c r="J103" s="301"/>
      <c r="K103" s="303">
        <f t="shared" si="2"/>
        <v>1264.8672863840002</v>
      </c>
      <c r="L103" s="301"/>
      <c r="M103" s="303">
        <f t="shared" si="3"/>
        <v>2529.7345727680004</v>
      </c>
      <c r="N103" s="301"/>
      <c r="O103" s="303">
        <f t="shared" si="4"/>
        <v>2529.7345727680004</v>
      </c>
      <c r="P103" s="301"/>
      <c r="Q103" s="303">
        <f t="shared" ref="Q103:Q107" si="5">Q102*$S$88</f>
        <v>5059.4691455360007</v>
      </c>
      <c r="R103" s="295"/>
      <c r="S103" s="296"/>
      <c r="T103" s="295"/>
    </row>
    <row r="104" spans="3:20" s="156" customFormat="1" ht="12.75" hidden="1" customHeight="1" x14ac:dyDescent="0.25">
      <c r="C104" s="154"/>
      <c r="D104" s="154"/>
      <c r="E104" s="154"/>
      <c r="F104" s="154"/>
      <c r="G104" s="154"/>
      <c r="H104" s="154"/>
      <c r="I104" s="300" t="s">
        <v>151</v>
      </c>
      <c r="J104" s="301"/>
      <c r="K104" s="303">
        <f t="shared" si="2"/>
        <v>1317.9917124121282</v>
      </c>
      <c r="L104" s="307"/>
      <c r="M104" s="303">
        <f t="shared" si="3"/>
        <v>2635.9834248242564</v>
      </c>
      <c r="N104" s="307"/>
      <c r="O104" s="303">
        <f t="shared" si="4"/>
        <v>2635.9834248242564</v>
      </c>
      <c r="P104" s="307"/>
      <c r="Q104" s="303">
        <f t="shared" si="5"/>
        <v>5271.9668496485128</v>
      </c>
      <c r="R104" s="295"/>
      <c r="S104" s="296"/>
      <c r="T104" s="295"/>
    </row>
    <row r="105" spans="3:20" s="156" customFormat="1" ht="12.75" hidden="1" customHeight="1" x14ac:dyDescent="0.25">
      <c r="C105" s="154"/>
      <c r="D105" s="154"/>
      <c r="E105" s="154"/>
      <c r="F105" s="154"/>
      <c r="G105" s="154"/>
      <c r="H105" s="154"/>
      <c r="I105" s="300" t="s">
        <v>164</v>
      </c>
      <c r="J105" s="301"/>
      <c r="K105" s="303">
        <f t="shared" si="2"/>
        <v>1373.3473643334376</v>
      </c>
      <c r="L105" s="307"/>
      <c r="M105" s="303">
        <f t="shared" si="3"/>
        <v>2746.6947286668751</v>
      </c>
      <c r="N105" s="307"/>
      <c r="O105" s="303">
        <f t="shared" si="4"/>
        <v>2746.6947286668751</v>
      </c>
      <c r="P105" s="307"/>
      <c r="Q105" s="303">
        <f t="shared" si="5"/>
        <v>5493.3894573337502</v>
      </c>
      <c r="R105" s="295"/>
      <c r="S105" s="296"/>
      <c r="T105" s="295"/>
    </row>
    <row r="106" spans="3:20" s="156" customFormat="1" ht="12.75" hidden="1" customHeight="1" x14ac:dyDescent="0.25">
      <c r="C106" s="154"/>
      <c r="D106" s="154"/>
      <c r="E106" s="154"/>
      <c r="F106" s="154"/>
      <c r="G106" s="154"/>
      <c r="H106" s="154"/>
      <c r="I106" s="300" t="s">
        <v>169</v>
      </c>
      <c r="J106" s="301"/>
      <c r="K106" s="303">
        <f t="shared" si="2"/>
        <v>1431.0279536354419</v>
      </c>
      <c r="L106" s="307"/>
      <c r="M106" s="303">
        <f t="shared" si="3"/>
        <v>2862.0559072708838</v>
      </c>
      <c r="N106" s="307"/>
      <c r="O106" s="303">
        <f t="shared" si="4"/>
        <v>2862.0559072708838</v>
      </c>
      <c r="P106" s="307"/>
      <c r="Q106" s="303">
        <f t="shared" si="5"/>
        <v>5724.1118145417677</v>
      </c>
      <c r="R106" s="295"/>
      <c r="S106" s="296"/>
      <c r="T106" s="295"/>
    </row>
    <row r="107" spans="3:20" s="156" customFormat="1" ht="12.75" hidden="1" customHeight="1" x14ac:dyDescent="0.25">
      <c r="C107" s="154"/>
      <c r="D107" s="154"/>
      <c r="E107" s="154"/>
      <c r="F107" s="154"/>
      <c r="G107" s="154"/>
      <c r="H107" s="154"/>
      <c r="I107" s="300" t="s">
        <v>172</v>
      </c>
      <c r="J107" s="301"/>
      <c r="K107" s="303">
        <f t="shared" si="2"/>
        <v>1491.1311276881306</v>
      </c>
      <c r="L107" s="307"/>
      <c r="M107" s="303">
        <f t="shared" si="3"/>
        <v>2982.2622553762612</v>
      </c>
      <c r="N107" s="307"/>
      <c r="O107" s="303">
        <f t="shared" si="4"/>
        <v>2982.2622553762612</v>
      </c>
      <c r="P107" s="307"/>
      <c r="Q107" s="303">
        <f t="shared" si="5"/>
        <v>5964.5245107525225</v>
      </c>
      <c r="R107" s="295"/>
      <c r="S107" s="296"/>
      <c r="T107" s="295"/>
    </row>
    <row r="108" spans="3:20" s="156" customFormat="1" ht="12.75" hidden="1" customHeight="1" x14ac:dyDescent="0.25">
      <c r="C108" s="154"/>
      <c r="D108" s="154"/>
      <c r="E108" s="154"/>
      <c r="F108" s="154"/>
      <c r="G108" s="154"/>
      <c r="H108" s="154"/>
      <c r="I108" s="300"/>
      <c r="J108" s="301"/>
      <c r="K108" s="305"/>
      <c r="L108" s="301"/>
      <c r="M108" s="305"/>
      <c r="N108" s="301"/>
      <c r="O108" s="305"/>
      <c r="P108" s="301"/>
      <c r="Q108" s="305"/>
      <c r="R108" s="295"/>
      <c r="S108" s="296"/>
      <c r="T108" s="295"/>
    </row>
    <row r="109" spans="3:20" s="159" customFormat="1" ht="12.75" hidden="1" customHeight="1" x14ac:dyDescent="0.3">
      <c r="C109" s="9"/>
      <c r="D109" s="9"/>
      <c r="E109" s="9"/>
      <c r="F109" s="9"/>
      <c r="G109" s="9"/>
      <c r="H109" s="9"/>
      <c r="I109" s="300" t="s">
        <v>68</v>
      </c>
      <c r="J109" s="301"/>
      <c r="K109" s="308">
        <f>Q109/4</f>
        <v>606.25</v>
      </c>
      <c r="L109" s="301"/>
      <c r="M109" s="308">
        <f>Q109/2</f>
        <v>1212.5</v>
      </c>
      <c r="N109" s="301"/>
      <c r="O109" s="308">
        <f>Q109/2</f>
        <v>1212.5</v>
      </c>
      <c r="P109" s="309"/>
      <c r="Q109" s="308">
        <v>2425</v>
      </c>
      <c r="R109" s="298"/>
      <c r="S109" s="298"/>
      <c r="T109" s="298"/>
    </row>
    <row r="110" spans="3:20" s="159" customFormat="1" ht="12.75" hidden="1" customHeight="1" x14ac:dyDescent="0.3">
      <c r="C110" s="9"/>
      <c r="D110" s="9"/>
      <c r="E110" s="9"/>
      <c r="F110" s="9"/>
      <c r="G110" s="9"/>
      <c r="H110" s="9"/>
      <c r="I110" s="300" t="s">
        <v>69</v>
      </c>
      <c r="J110" s="301"/>
      <c r="K110" s="303">
        <f>K109*$S$88</f>
        <v>631.71249999999998</v>
      </c>
      <c r="L110" s="301"/>
      <c r="M110" s="303">
        <f>M109*$S$88</f>
        <v>1263.425</v>
      </c>
      <c r="N110" s="301"/>
      <c r="O110" s="303">
        <f>O109*$S$88</f>
        <v>1263.425</v>
      </c>
      <c r="P110" s="309"/>
      <c r="Q110" s="303">
        <f>Q109*S88</f>
        <v>2526.85</v>
      </c>
      <c r="R110" s="298"/>
      <c r="S110" s="298"/>
      <c r="T110" s="298"/>
    </row>
    <row r="111" spans="3:20" s="159" customFormat="1" ht="12.75" hidden="1" customHeight="1" x14ac:dyDescent="0.3">
      <c r="C111" s="9"/>
      <c r="D111" s="9"/>
      <c r="E111" s="9"/>
      <c r="F111" s="9"/>
      <c r="G111" s="9"/>
      <c r="H111" s="9"/>
      <c r="I111" s="300" t="s">
        <v>146</v>
      </c>
      <c r="J111" s="301"/>
      <c r="K111" s="303">
        <f t="shared" ref="K111:K116" si="6">K110*$S$88</f>
        <v>658.24442499999998</v>
      </c>
      <c r="L111" s="301"/>
      <c r="M111" s="303">
        <f t="shared" ref="M111:M115" si="7">M110*$S$88</f>
        <v>1316.48885</v>
      </c>
      <c r="N111" s="301"/>
      <c r="O111" s="303">
        <f t="shared" ref="O111:O116" si="8">O110*$S$88</f>
        <v>1316.48885</v>
      </c>
      <c r="P111" s="309"/>
      <c r="Q111" s="303">
        <f t="shared" ref="Q111:Q116" si="9">Q110*$S$88</f>
        <v>2632.9776999999999</v>
      </c>
      <c r="R111" s="298"/>
      <c r="S111" s="298"/>
      <c r="T111" s="298"/>
    </row>
    <row r="112" spans="3:20" s="159" customFormat="1" ht="12.75" hidden="1" customHeight="1" x14ac:dyDescent="0.3">
      <c r="C112" s="9"/>
      <c r="D112" s="9"/>
      <c r="E112" s="9"/>
      <c r="F112" s="9"/>
      <c r="G112" s="9"/>
      <c r="H112" s="9"/>
      <c r="I112" s="300" t="s">
        <v>152</v>
      </c>
      <c r="J112" s="301"/>
      <c r="K112" s="303">
        <f t="shared" si="6"/>
        <v>685.89069085000006</v>
      </c>
      <c r="L112" s="301"/>
      <c r="M112" s="303">
        <f t="shared" si="7"/>
        <v>1371.7813817000001</v>
      </c>
      <c r="N112" s="301"/>
      <c r="O112" s="303">
        <f t="shared" si="8"/>
        <v>1371.7813817000001</v>
      </c>
      <c r="P112" s="309"/>
      <c r="Q112" s="303">
        <f t="shared" si="9"/>
        <v>2743.5627634000002</v>
      </c>
      <c r="R112" s="298"/>
      <c r="S112" s="298"/>
      <c r="T112" s="298"/>
    </row>
    <row r="113" spans="3:20" s="159" customFormat="1" ht="12.75" hidden="1" customHeight="1" x14ac:dyDescent="0.3">
      <c r="C113" s="9"/>
      <c r="D113" s="9"/>
      <c r="E113" s="9"/>
      <c r="F113" s="9"/>
      <c r="G113" s="9"/>
      <c r="H113" s="9"/>
      <c r="I113" s="300" t="s">
        <v>153</v>
      </c>
      <c r="J113" s="301"/>
      <c r="K113" s="303">
        <f t="shared" si="6"/>
        <v>714.6980998657001</v>
      </c>
      <c r="L113" s="301"/>
      <c r="M113" s="303">
        <f t="shared" si="7"/>
        <v>1429.3961997314002</v>
      </c>
      <c r="N113" s="301"/>
      <c r="O113" s="303">
        <f t="shared" si="8"/>
        <v>1429.3961997314002</v>
      </c>
      <c r="P113" s="309"/>
      <c r="Q113" s="303">
        <f t="shared" si="9"/>
        <v>2858.7923994628004</v>
      </c>
      <c r="R113" s="298"/>
      <c r="S113" s="298"/>
      <c r="T113" s="298"/>
    </row>
    <row r="114" spans="3:20" s="159" customFormat="1" ht="12.75" hidden="1" customHeight="1" x14ac:dyDescent="0.3">
      <c r="C114" s="9"/>
      <c r="D114" s="9"/>
      <c r="E114" s="9"/>
      <c r="F114" s="9"/>
      <c r="G114" s="9"/>
      <c r="H114" s="9"/>
      <c r="I114" s="300" t="s">
        <v>168</v>
      </c>
      <c r="J114" s="301"/>
      <c r="K114" s="303">
        <f t="shared" si="6"/>
        <v>744.7154200600595</v>
      </c>
      <c r="L114" s="301"/>
      <c r="M114" s="303">
        <f t="shared" si="7"/>
        <v>1489.430840120119</v>
      </c>
      <c r="N114" s="301"/>
      <c r="O114" s="303">
        <f t="shared" si="8"/>
        <v>1489.430840120119</v>
      </c>
      <c r="P114" s="309"/>
      <c r="Q114" s="303">
        <f t="shared" si="9"/>
        <v>2978.861680240238</v>
      </c>
      <c r="R114" s="298"/>
      <c r="S114" s="298"/>
      <c r="T114" s="298"/>
    </row>
    <row r="115" spans="3:20" s="159" customFormat="1" ht="12.75" hidden="1" customHeight="1" x14ac:dyDescent="0.3">
      <c r="C115" s="9"/>
      <c r="D115" s="9"/>
      <c r="E115" s="9"/>
      <c r="F115" s="9"/>
      <c r="G115" s="9"/>
      <c r="H115" s="9"/>
      <c r="I115" s="300" t="s">
        <v>173</v>
      </c>
      <c r="J115" s="301"/>
      <c r="K115" s="303">
        <f t="shared" si="6"/>
        <v>775.99346770258205</v>
      </c>
      <c r="L115" s="301"/>
      <c r="M115" s="303">
        <f t="shared" si="7"/>
        <v>1551.9869354051641</v>
      </c>
      <c r="N115" s="301"/>
      <c r="O115" s="303">
        <f t="shared" si="8"/>
        <v>1551.9869354051641</v>
      </c>
      <c r="P115" s="309"/>
      <c r="Q115" s="303">
        <f t="shared" si="9"/>
        <v>3103.9738708103282</v>
      </c>
      <c r="R115" s="298"/>
      <c r="S115" s="298"/>
      <c r="T115" s="298"/>
    </row>
    <row r="116" spans="3:20" s="159" customFormat="1" ht="12.75" hidden="1" customHeight="1" x14ac:dyDescent="0.3">
      <c r="C116" s="9"/>
      <c r="D116" s="9"/>
      <c r="E116" s="9"/>
      <c r="F116" s="9"/>
      <c r="G116" s="9"/>
      <c r="H116" s="9"/>
      <c r="I116" s="300" t="s">
        <v>233</v>
      </c>
      <c r="J116" s="301"/>
      <c r="K116" s="303">
        <f t="shared" si="6"/>
        <v>808.58519334609048</v>
      </c>
      <c r="L116" s="301"/>
      <c r="M116" s="303">
        <f>M115*$S$88</f>
        <v>1617.170386692181</v>
      </c>
      <c r="N116" s="301"/>
      <c r="O116" s="303">
        <f t="shared" si="8"/>
        <v>1617.170386692181</v>
      </c>
      <c r="P116" s="309"/>
      <c r="Q116" s="303">
        <f t="shared" si="9"/>
        <v>3234.3407733843619</v>
      </c>
      <c r="R116" s="298"/>
      <c r="S116" s="298"/>
      <c r="T116" s="298"/>
    </row>
    <row r="117" spans="3:20" s="159" customFormat="1" ht="12.75" hidden="1" customHeight="1" x14ac:dyDescent="0.3">
      <c r="C117" s="9"/>
      <c r="D117" s="9"/>
      <c r="E117" s="9"/>
      <c r="F117" s="9"/>
      <c r="G117" s="9"/>
      <c r="H117" s="9"/>
      <c r="I117" s="301"/>
      <c r="J117" s="301"/>
      <c r="K117" s="305"/>
      <c r="L117" s="301"/>
      <c r="M117" s="305"/>
      <c r="N117" s="301"/>
      <c r="O117" s="305"/>
      <c r="P117" s="301"/>
      <c r="Q117" s="305"/>
      <c r="R117" s="298"/>
      <c r="S117" s="298"/>
      <c r="T117" s="298"/>
    </row>
    <row r="118" spans="3:20" s="159" customFormat="1" ht="12.75" hidden="1" customHeight="1" x14ac:dyDescent="0.3">
      <c r="C118" s="9"/>
      <c r="D118" s="9"/>
      <c r="E118" s="9"/>
      <c r="F118" s="9"/>
      <c r="G118" s="9"/>
      <c r="H118" s="9"/>
      <c r="I118" s="310" t="s">
        <v>154</v>
      </c>
      <c r="J118" s="310"/>
      <c r="K118" s="310"/>
      <c r="L118" s="310"/>
      <c r="M118" s="310"/>
      <c r="N118" s="310"/>
      <c r="O118" s="310"/>
      <c r="P118" s="310"/>
      <c r="Q118" s="310"/>
      <c r="R118" s="298"/>
      <c r="S118" s="298"/>
      <c r="T118" s="298"/>
    </row>
    <row r="119" spans="3:20" s="159" customFormat="1" ht="12.75" hidden="1" customHeight="1" x14ac:dyDescent="0.3">
      <c r="C119" s="9"/>
      <c r="D119" s="9"/>
      <c r="E119" s="9"/>
      <c r="F119" s="9"/>
      <c r="G119" s="9"/>
      <c r="H119" s="9"/>
      <c r="I119" s="304"/>
      <c r="J119" s="301"/>
      <c r="K119" s="305" t="s">
        <v>58</v>
      </c>
      <c r="L119" s="301"/>
      <c r="M119" s="305" t="s">
        <v>59</v>
      </c>
      <c r="N119" s="301"/>
      <c r="O119" s="305" t="s">
        <v>60</v>
      </c>
      <c r="P119" s="301"/>
      <c r="Q119" s="305" t="s">
        <v>61</v>
      </c>
      <c r="R119" s="298"/>
      <c r="S119" s="298"/>
      <c r="T119" s="298"/>
    </row>
    <row r="120" spans="3:20" s="159" customFormat="1" ht="12.75" hidden="1" customHeight="1" x14ac:dyDescent="0.3">
      <c r="C120" s="9"/>
      <c r="D120" s="9"/>
      <c r="E120" s="9"/>
      <c r="F120" s="9"/>
      <c r="G120" s="9"/>
      <c r="H120" s="9"/>
      <c r="I120" s="300"/>
      <c r="J120" s="301"/>
      <c r="K120" s="304"/>
      <c r="L120" s="304"/>
      <c r="M120" s="305"/>
      <c r="N120" s="301"/>
      <c r="O120" s="305"/>
      <c r="P120" s="301"/>
      <c r="Q120" s="305"/>
      <c r="R120" s="298"/>
      <c r="S120" s="298"/>
      <c r="T120" s="298"/>
    </row>
    <row r="121" spans="3:20" s="159" customFormat="1" ht="12.75" hidden="1" customHeight="1" x14ac:dyDescent="0.3">
      <c r="C121" s="9"/>
      <c r="D121" s="9"/>
      <c r="E121" s="9"/>
      <c r="F121" s="9"/>
      <c r="G121" s="9"/>
      <c r="H121" s="9"/>
      <c r="I121" s="300" t="s">
        <v>64</v>
      </c>
      <c r="J121" s="304"/>
      <c r="K121" s="302">
        <f>Q121/4</f>
        <v>1285</v>
      </c>
      <c r="L121" s="301"/>
      <c r="M121" s="302">
        <f>O121</f>
        <v>2570</v>
      </c>
      <c r="N121" s="301"/>
      <c r="O121" s="302">
        <f>Q121/2</f>
        <v>2570</v>
      </c>
      <c r="P121" s="301"/>
      <c r="Q121" s="302">
        <v>5140</v>
      </c>
      <c r="R121" s="298"/>
      <c r="S121" s="298"/>
      <c r="T121" s="298"/>
    </row>
    <row r="122" spans="3:20" s="159" customFormat="1" ht="12.75" hidden="1" customHeight="1" x14ac:dyDescent="0.3">
      <c r="C122" s="9"/>
      <c r="D122" s="9"/>
      <c r="E122" s="9"/>
      <c r="F122" s="9"/>
      <c r="G122" s="9"/>
      <c r="H122" s="9"/>
      <c r="I122" s="300" t="s">
        <v>65</v>
      </c>
      <c r="J122" s="304"/>
      <c r="K122" s="303">
        <f>K121*$S$88</f>
        <v>1338.97</v>
      </c>
      <c r="L122" s="301"/>
      <c r="M122" s="303">
        <f>M121*$S$88</f>
        <v>2677.94</v>
      </c>
      <c r="N122" s="301"/>
      <c r="O122" s="303">
        <f>O121*$S$88</f>
        <v>2677.94</v>
      </c>
      <c r="P122" s="301"/>
      <c r="Q122" s="303">
        <f t="shared" ref="Q122:Q128" si="10">Q121*$S$88</f>
        <v>5355.88</v>
      </c>
      <c r="R122" s="298"/>
      <c r="S122" s="298"/>
      <c r="T122" s="298"/>
    </row>
    <row r="123" spans="3:20" s="159" customFormat="1" ht="15.6" hidden="1" x14ac:dyDescent="0.3">
      <c r="I123" s="300" t="s">
        <v>144</v>
      </c>
      <c r="J123" s="304"/>
      <c r="K123" s="303">
        <f t="shared" ref="K123:K128" si="11">K122*$S$88</f>
        <v>1395.2067400000001</v>
      </c>
      <c r="L123" s="301"/>
      <c r="M123" s="303">
        <f t="shared" ref="M123:M128" si="12">M122*$S$88</f>
        <v>2790.4134800000002</v>
      </c>
      <c r="N123" s="301"/>
      <c r="O123" s="303">
        <f t="shared" ref="O123:O128" si="13">O122*$S$88</f>
        <v>2790.4134800000002</v>
      </c>
      <c r="P123" s="301"/>
      <c r="Q123" s="303">
        <f t="shared" si="10"/>
        <v>5580.8269600000003</v>
      </c>
      <c r="R123" s="298"/>
      <c r="S123" s="298"/>
      <c r="T123" s="298"/>
    </row>
    <row r="124" spans="3:20" s="159" customFormat="1" ht="15.6" hidden="1" x14ac:dyDescent="0.3">
      <c r="I124" s="300" t="s">
        <v>148</v>
      </c>
      <c r="J124" s="304"/>
      <c r="K124" s="303">
        <f t="shared" si="11"/>
        <v>1453.8054230800001</v>
      </c>
      <c r="L124" s="301"/>
      <c r="M124" s="303">
        <f t="shared" si="12"/>
        <v>2907.6108461600002</v>
      </c>
      <c r="N124" s="301"/>
      <c r="O124" s="303">
        <f t="shared" si="13"/>
        <v>2907.6108461600002</v>
      </c>
      <c r="P124" s="301"/>
      <c r="Q124" s="303">
        <f t="shared" si="10"/>
        <v>5815.2216923200003</v>
      </c>
      <c r="R124" s="298"/>
      <c r="S124" s="298"/>
      <c r="T124" s="298"/>
    </row>
    <row r="125" spans="3:20" s="159" customFormat="1" ht="15.6" hidden="1" x14ac:dyDescent="0.3">
      <c r="I125" s="300" t="s">
        <v>149</v>
      </c>
      <c r="J125" s="304"/>
      <c r="K125" s="303">
        <f t="shared" si="11"/>
        <v>1514.8652508493601</v>
      </c>
      <c r="L125" s="301"/>
      <c r="M125" s="303">
        <f t="shared" si="12"/>
        <v>3029.7305016987202</v>
      </c>
      <c r="N125" s="301"/>
      <c r="O125" s="303">
        <f t="shared" si="13"/>
        <v>3029.7305016987202</v>
      </c>
      <c r="P125" s="301"/>
      <c r="Q125" s="303">
        <f t="shared" si="10"/>
        <v>6059.4610033974404</v>
      </c>
      <c r="R125" s="298"/>
      <c r="S125" s="298"/>
      <c r="T125" s="298"/>
    </row>
    <row r="126" spans="3:20" s="159" customFormat="1" ht="15.6" hidden="1" x14ac:dyDescent="0.3">
      <c r="I126" s="300" t="s">
        <v>167</v>
      </c>
      <c r="J126" s="304"/>
      <c r="K126" s="303">
        <f t="shared" si="11"/>
        <v>1578.4895913850332</v>
      </c>
      <c r="L126" s="301"/>
      <c r="M126" s="303">
        <f t="shared" si="12"/>
        <v>3156.9791827700665</v>
      </c>
      <c r="N126" s="301"/>
      <c r="O126" s="303">
        <f t="shared" si="13"/>
        <v>3156.9791827700665</v>
      </c>
      <c r="P126" s="301"/>
      <c r="Q126" s="303">
        <f t="shared" si="10"/>
        <v>6313.9583655401329</v>
      </c>
      <c r="R126" s="298"/>
      <c r="S126" s="298"/>
      <c r="T126" s="298"/>
    </row>
    <row r="127" spans="3:20" s="159" customFormat="1" ht="15.6" hidden="1" x14ac:dyDescent="0.3">
      <c r="I127" s="300" t="s">
        <v>171</v>
      </c>
      <c r="J127" s="304"/>
      <c r="K127" s="303">
        <f>K126*$S$88</f>
        <v>1644.7861542232047</v>
      </c>
      <c r="L127" s="301"/>
      <c r="M127" s="303">
        <f t="shared" si="12"/>
        <v>3289.5723084464094</v>
      </c>
      <c r="N127" s="301"/>
      <c r="O127" s="303">
        <f t="shared" si="13"/>
        <v>3289.5723084464094</v>
      </c>
      <c r="P127" s="301"/>
      <c r="Q127" s="303">
        <f t="shared" si="10"/>
        <v>6579.1446168928187</v>
      </c>
      <c r="R127" s="298"/>
      <c r="S127" s="298"/>
      <c r="T127" s="298"/>
    </row>
    <row r="128" spans="3:20" s="159" customFormat="1" ht="15.6" hidden="1" x14ac:dyDescent="0.3">
      <c r="I128" s="300" t="s">
        <v>232</v>
      </c>
      <c r="J128" s="304"/>
      <c r="K128" s="303">
        <f t="shared" si="11"/>
        <v>1713.8671727005794</v>
      </c>
      <c r="L128" s="301"/>
      <c r="M128" s="303">
        <f t="shared" si="12"/>
        <v>3427.7343454011589</v>
      </c>
      <c r="N128" s="301"/>
      <c r="O128" s="303">
        <f t="shared" si="13"/>
        <v>3427.7343454011589</v>
      </c>
      <c r="P128" s="301"/>
      <c r="Q128" s="303">
        <f t="shared" si="10"/>
        <v>6855.4686908023177</v>
      </c>
      <c r="R128" s="298"/>
      <c r="S128" s="298"/>
      <c r="T128" s="298"/>
    </row>
    <row r="129" spans="9:20" s="159" customFormat="1" ht="15.6" hidden="1" x14ac:dyDescent="0.3">
      <c r="I129" s="300"/>
      <c r="J129" s="304"/>
      <c r="K129" s="303">
        <v>0</v>
      </c>
      <c r="L129" s="304"/>
      <c r="M129" s="305"/>
      <c r="N129" s="301"/>
      <c r="O129" s="303">
        <v>0</v>
      </c>
      <c r="P129" s="301"/>
      <c r="Q129" s="305"/>
      <c r="R129" s="298"/>
      <c r="S129" s="298"/>
      <c r="T129" s="298"/>
    </row>
    <row r="130" spans="9:20" s="159" customFormat="1" ht="15.6" hidden="1" x14ac:dyDescent="0.3">
      <c r="I130" s="300" t="s">
        <v>66</v>
      </c>
      <c r="J130" s="304"/>
      <c r="K130" s="306">
        <f>Q130/4</f>
        <v>1285</v>
      </c>
      <c r="L130" s="307"/>
      <c r="M130" s="306">
        <f>O130</f>
        <v>2570</v>
      </c>
      <c r="N130" s="307"/>
      <c r="O130" s="306">
        <f>Q130/2</f>
        <v>2570</v>
      </c>
      <c r="P130" s="307"/>
      <c r="Q130" s="306">
        <v>5140</v>
      </c>
      <c r="R130" s="298"/>
      <c r="S130" s="298"/>
      <c r="T130" s="298"/>
    </row>
    <row r="131" spans="9:20" s="159" customFormat="1" ht="15.6" hidden="1" x14ac:dyDescent="0.3">
      <c r="I131" s="300" t="s">
        <v>67</v>
      </c>
      <c r="J131" s="304"/>
      <c r="K131" s="303">
        <f>M131/2</f>
        <v>1338.97</v>
      </c>
      <c r="L131" s="307"/>
      <c r="M131" s="303">
        <f>O131</f>
        <v>2677.94</v>
      </c>
      <c r="N131" s="307"/>
      <c r="O131" s="303">
        <f>Q131/2</f>
        <v>2677.94</v>
      </c>
      <c r="P131" s="307"/>
      <c r="Q131" s="303">
        <f>Q130*$S$88</f>
        <v>5355.88</v>
      </c>
      <c r="R131" s="298"/>
      <c r="S131" s="298"/>
      <c r="T131" s="298"/>
    </row>
    <row r="132" spans="9:20" s="159" customFormat="1" ht="15.6" hidden="1" x14ac:dyDescent="0.3">
      <c r="I132" s="300" t="s">
        <v>145</v>
      </c>
      <c r="J132" s="304"/>
      <c r="K132" s="303">
        <f t="shared" ref="K132:K137" si="14">K131*$S$88</f>
        <v>1395.2067400000001</v>
      </c>
      <c r="L132" s="307"/>
      <c r="M132" s="303">
        <f t="shared" ref="M132:M137" si="15">M131*$S$88</f>
        <v>2790.4134800000002</v>
      </c>
      <c r="N132" s="307"/>
      <c r="O132" s="303">
        <f t="shared" ref="O132:O137" si="16">O131*$S$88</f>
        <v>2790.4134800000002</v>
      </c>
      <c r="P132" s="307"/>
      <c r="Q132" s="303">
        <f t="shared" ref="Q132:Q137" si="17">Q131*$S$88</f>
        <v>5580.8269600000003</v>
      </c>
      <c r="R132" s="298"/>
      <c r="S132" s="298"/>
      <c r="T132" s="298"/>
    </row>
    <row r="133" spans="9:20" s="159" customFormat="1" ht="15.6" hidden="1" x14ac:dyDescent="0.3">
      <c r="I133" s="300" t="s">
        <v>150</v>
      </c>
      <c r="J133" s="304"/>
      <c r="K133" s="303">
        <f t="shared" si="14"/>
        <v>1453.8054230800001</v>
      </c>
      <c r="L133" s="307"/>
      <c r="M133" s="303">
        <f t="shared" si="15"/>
        <v>2907.6108461600002</v>
      </c>
      <c r="N133" s="307"/>
      <c r="O133" s="303">
        <f t="shared" si="16"/>
        <v>2907.6108461600002</v>
      </c>
      <c r="P133" s="307"/>
      <c r="Q133" s="303">
        <f t="shared" si="17"/>
        <v>5815.2216923200003</v>
      </c>
      <c r="R133" s="298"/>
      <c r="S133" s="298"/>
      <c r="T133" s="298"/>
    </row>
    <row r="134" spans="9:20" s="159" customFormat="1" ht="15.6" hidden="1" x14ac:dyDescent="0.3">
      <c r="I134" s="300" t="s">
        <v>151</v>
      </c>
      <c r="J134" s="304"/>
      <c r="K134" s="303">
        <f t="shared" si="14"/>
        <v>1514.8652508493601</v>
      </c>
      <c r="L134" s="307"/>
      <c r="M134" s="303">
        <f t="shared" si="15"/>
        <v>3029.7305016987202</v>
      </c>
      <c r="N134" s="307"/>
      <c r="O134" s="303">
        <f t="shared" si="16"/>
        <v>3029.7305016987202</v>
      </c>
      <c r="P134" s="307"/>
      <c r="Q134" s="303">
        <f t="shared" si="17"/>
        <v>6059.4610033974404</v>
      </c>
      <c r="R134" s="298"/>
      <c r="S134" s="298"/>
      <c r="T134" s="298"/>
    </row>
    <row r="135" spans="9:20" s="159" customFormat="1" ht="15.6" hidden="1" x14ac:dyDescent="0.3">
      <c r="I135" s="300" t="s">
        <v>164</v>
      </c>
      <c r="J135" s="304"/>
      <c r="K135" s="303">
        <f t="shared" si="14"/>
        <v>1578.4895913850332</v>
      </c>
      <c r="L135" s="307"/>
      <c r="M135" s="303">
        <f t="shared" si="15"/>
        <v>3156.9791827700665</v>
      </c>
      <c r="N135" s="307"/>
      <c r="O135" s="303">
        <f t="shared" si="16"/>
        <v>3156.9791827700665</v>
      </c>
      <c r="P135" s="307"/>
      <c r="Q135" s="303">
        <f t="shared" si="17"/>
        <v>6313.9583655401329</v>
      </c>
      <c r="R135" s="298"/>
      <c r="S135" s="298"/>
      <c r="T135" s="298"/>
    </row>
    <row r="136" spans="9:20" s="159" customFormat="1" ht="15.6" hidden="1" x14ac:dyDescent="0.3">
      <c r="I136" s="300" t="s">
        <v>169</v>
      </c>
      <c r="J136" s="304"/>
      <c r="K136" s="303">
        <f t="shared" si="14"/>
        <v>1644.7861542232047</v>
      </c>
      <c r="L136" s="307"/>
      <c r="M136" s="303">
        <f t="shared" si="15"/>
        <v>3289.5723084464094</v>
      </c>
      <c r="N136" s="307"/>
      <c r="O136" s="303">
        <f t="shared" si="16"/>
        <v>3289.5723084464094</v>
      </c>
      <c r="P136" s="307"/>
      <c r="Q136" s="303">
        <f t="shared" si="17"/>
        <v>6579.1446168928187</v>
      </c>
      <c r="R136" s="298"/>
      <c r="S136" s="298"/>
      <c r="T136" s="298"/>
    </row>
    <row r="137" spans="9:20" s="159" customFormat="1" ht="15.6" hidden="1" x14ac:dyDescent="0.3">
      <c r="I137" s="300" t="s">
        <v>172</v>
      </c>
      <c r="J137" s="304"/>
      <c r="K137" s="303">
        <f t="shared" si="14"/>
        <v>1713.8671727005794</v>
      </c>
      <c r="L137" s="307"/>
      <c r="M137" s="303">
        <f t="shared" si="15"/>
        <v>3427.7343454011589</v>
      </c>
      <c r="N137" s="307"/>
      <c r="O137" s="303">
        <f t="shared" si="16"/>
        <v>3427.7343454011589</v>
      </c>
      <c r="P137" s="307"/>
      <c r="Q137" s="303">
        <f t="shared" si="17"/>
        <v>6855.4686908023177</v>
      </c>
      <c r="R137" s="298"/>
      <c r="S137" s="298"/>
      <c r="T137" s="298"/>
    </row>
    <row r="138" spans="9:20" s="159" customFormat="1" ht="15.6" hidden="1" x14ac:dyDescent="0.3">
      <c r="I138" s="300"/>
      <c r="J138" s="304"/>
      <c r="K138" s="303">
        <v>0</v>
      </c>
      <c r="L138" s="304"/>
      <c r="M138" s="305"/>
      <c r="N138" s="301"/>
      <c r="O138" s="303">
        <v>0</v>
      </c>
      <c r="P138" s="301"/>
      <c r="Q138" s="305"/>
      <c r="R138" s="298"/>
      <c r="S138" s="298"/>
      <c r="T138" s="298"/>
    </row>
    <row r="139" spans="9:20" s="159" customFormat="1" ht="15.6" hidden="1" x14ac:dyDescent="0.3">
      <c r="I139" s="300" t="s">
        <v>68</v>
      </c>
      <c r="J139" s="304"/>
      <c r="K139" s="308">
        <f>Q139/4</f>
        <v>700</v>
      </c>
      <c r="L139" s="301"/>
      <c r="M139" s="308">
        <f>Q139/2</f>
        <v>1400</v>
      </c>
      <c r="N139" s="301"/>
      <c r="O139" s="308">
        <f>Q139/2</f>
        <v>1400</v>
      </c>
      <c r="P139" s="309"/>
      <c r="Q139" s="308">
        <v>2800</v>
      </c>
      <c r="R139" s="298"/>
      <c r="S139" s="298"/>
      <c r="T139" s="298"/>
    </row>
    <row r="140" spans="9:20" s="159" customFormat="1" ht="15.6" hidden="1" x14ac:dyDescent="0.3">
      <c r="I140" s="300" t="s">
        <v>69</v>
      </c>
      <c r="J140" s="304"/>
      <c r="K140" s="303">
        <f>K139*$S$88</f>
        <v>729.4</v>
      </c>
      <c r="L140" s="301"/>
      <c r="M140" s="303">
        <f>M139*$S$88</f>
        <v>1458.8</v>
      </c>
      <c r="N140" s="301"/>
      <c r="O140" s="303">
        <f>O139*$S$88</f>
        <v>1458.8</v>
      </c>
      <c r="P140" s="309"/>
      <c r="Q140" s="303">
        <f>Q139*$S$88</f>
        <v>2917.6</v>
      </c>
      <c r="R140" s="298"/>
      <c r="S140" s="298"/>
      <c r="T140" s="298"/>
    </row>
    <row r="141" spans="9:20" s="159" customFormat="1" ht="12.75" hidden="1" customHeight="1" x14ac:dyDescent="0.3">
      <c r="I141" s="300" t="s">
        <v>146</v>
      </c>
      <c r="J141" s="304"/>
      <c r="K141" s="303">
        <f t="shared" ref="K141:K146" si="18">K140*$S$88</f>
        <v>760.03480000000002</v>
      </c>
      <c r="L141" s="301"/>
      <c r="M141" s="303">
        <f t="shared" ref="M141:M146" si="19">M140*$S$88</f>
        <v>1520.0696</v>
      </c>
      <c r="N141" s="301"/>
      <c r="O141" s="303">
        <f t="shared" ref="O141:O146" si="20">O140*$S$88</f>
        <v>1520.0696</v>
      </c>
      <c r="P141" s="309"/>
      <c r="Q141" s="303">
        <f t="shared" ref="Q141:Q146" si="21">Q140*$S$88</f>
        <v>3040.1392000000001</v>
      </c>
      <c r="R141" s="298"/>
      <c r="S141" s="298"/>
      <c r="T141" s="298"/>
    </row>
    <row r="142" spans="9:20" s="159" customFormat="1" ht="12.75" hidden="1" customHeight="1" x14ac:dyDescent="0.3">
      <c r="I142" s="300" t="s">
        <v>152</v>
      </c>
      <c r="J142" s="304"/>
      <c r="K142" s="303">
        <f t="shared" si="18"/>
        <v>791.95626160000006</v>
      </c>
      <c r="L142" s="301"/>
      <c r="M142" s="303">
        <f t="shared" si="19"/>
        <v>1583.9125232000001</v>
      </c>
      <c r="N142" s="301"/>
      <c r="O142" s="303">
        <f t="shared" si="20"/>
        <v>1583.9125232000001</v>
      </c>
      <c r="P142" s="309"/>
      <c r="Q142" s="303">
        <f t="shared" si="21"/>
        <v>3167.8250464000002</v>
      </c>
      <c r="R142" s="298"/>
      <c r="S142" s="298"/>
      <c r="T142" s="298"/>
    </row>
    <row r="143" spans="9:20" s="159" customFormat="1" ht="12.75" hidden="1" customHeight="1" x14ac:dyDescent="0.3">
      <c r="I143" s="300" t="s">
        <v>153</v>
      </c>
      <c r="J143" s="304"/>
      <c r="K143" s="303">
        <f t="shared" si="18"/>
        <v>825.21842458720005</v>
      </c>
      <c r="L143" s="301"/>
      <c r="M143" s="303">
        <f t="shared" si="19"/>
        <v>1650.4368491744001</v>
      </c>
      <c r="N143" s="301"/>
      <c r="O143" s="303">
        <f t="shared" si="20"/>
        <v>1650.4368491744001</v>
      </c>
      <c r="P143" s="309"/>
      <c r="Q143" s="303">
        <f t="shared" si="21"/>
        <v>3300.8736983488002</v>
      </c>
      <c r="R143" s="298"/>
      <c r="S143" s="298"/>
      <c r="T143" s="298"/>
    </row>
    <row r="144" spans="9:20" s="159" customFormat="1" ht="12.75" hidden="1" customHeight="1" x14ac:dyDescent="0.3">
      <c r="I144" s="300" t="s">
        <v>168</v>
      </c>
      <c r="J144" s="304"/>
      <c r="K144" s="303">
        <f t="shared" si="18"/>
        <v>859.87759841986247</v>
      </c>
      <c r="L144" s="301"/>
      <c r="M144" s="303">
        <f t="shared" si="19"/>
        <v>1719.7551968397249</v>
      </c>
      <c r="N144" s="301"/>
      <c r="O144" s="303">
        <f t="shared" si="20"/>
        <v>1719.7551968397249</v>
      </c>
      <c r="P144" s="309"/>
      <c r="Q144" s="303">
        <f t="shared" si="21"/>
        <v>3439.5103936794499</v>
      </c>
      <c r="R144" s="298"/>
      <c r="S144" s="298"/>
      <c r="T144" s="298"/>
    </row>
    <row r="145" spans="3:20" s="159" customFormat="1" ht="12.75" hidden="1" customHeight="1" x14ac:dyDescent="0.3">
      <c r="I145" s="300" t="s">
        <v>173</v>
      </c>
      <c r="J145" s="304"/>
      <c r="K145" s="303">
        <f t="shared" si="18"/>
        <v>895.99245755349671</v>
      </c>
      <c r="L145" s="301"/>
      <c r="M145" s="303">
        <f t="shared" si="19"/>
        <v>1791.9849151069934</v>
      </c>
      <c r="N145" s="301"/>
      <c r="O145" s="303">
        <f t="shared" si="20"/>
        <v>1791.9849151069934</v>
      </c>
      <c r="P145" s="309"/>
      <c r="Q145" s="303">
        <f t="shared" si="21"/>
        <v>3583.9698302139868</v>
      </c>
      <c r="R145" s="298"/>
      <c r="S145" s="298"/>
      <c r="T145" s="298"/>
    </row>
    <row r="146" spans="3:20" s="159" customFormat="1" ht="12.75" hidden="1" customHeight="1" x14ac:dyDescent="0.3">
      <c r="I146" s="300" t="s">
        <v>233</v>
      </c>
      <c r="J146" s="304"/>
      <c r="K146" s="303">
        <f t="shared" si="18"/>
        <v>933.62414077074357</v>
      </c>
      <c r="L146" s="301"/>
      <c r="M146" s="303">
        <f t="shared" si="19"/>
        <v>1867.2482815414871</v>
      </c>
      <c r="N146" s="301"/>
      <c r="O146" s="303">
        <f t="shared" si="20"/>
        <v>1867.2482815414871</v>
      </c>
      <c r="P146" s="309"/>
      <c r="Q146" s="303">
        <f t="shared" si="21"/>
        <v>3734.4965630829743</v>
      </c>
      <c r="R146" s="298"/>
      <c r="S146" s="298"/>
      <c r="T146" s="298"/>
    </row>
    <row r="147" spans="3:20" s="159" customFormat="1" ht="12.75" hidden="1" customHeight="1" x14ac:dyDescent="0.3">
      <c r="C147" s="9"/>
      <c r="D147" s="9"/>
      <c r="E147" s="9"/>
      <c r="F147" s="9"/>
      <c r="G147" s="9"/>
      <c r="H147" s="9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</row>
    <row r="148" spans="3:20" s="159" customFormat="1" ht="15.6" hidden="1" x14ac:dyDescent="0.3">
      <c r="I148" s="310" t="s">
        <v>155</v>
      </c>
      <c r="J148" s="310"/>
      <c r="K148" s="310"/>
      <c r="L148" s="310"/>
      <c r="M148" s="310"/>
      <c r="N148" s="310"/>
      <c r="O148" s="310"/>
      <c r="P148" s="310"/>
      <c r="Q148" s="310"/>
      <c r="R148" s="298"/>
      <c r="S148" s="298"/>
      <c r="T148" s="298"/>
    </row>
    <row r="149" spans="3:20" s="159" customFormat="1" ht="15.6" hidden="1" x14ac:dyDescent="0.3">
      <c r="I149" s="304"/>
      <c r="J149" s="301"/>
      <c r="K149" s="305" t="s">
        <v>58</v>
      </c>
      <c r="L149" s="301"/>
      <c r="M149" s="305" t="s">
        <v>59</v>
      </c>
      <c r="N149" s="301"/>
      <c r="O149" s="305" t="s">
        <v>60</v>
      </c>
      <c r="P149" s="301"/>
      <c r="Q149" s="305" t="s">
        <v>61</v>
      </c>
      <c r="R149" s="298"/>
      <c r="S149" s="298"/>
      <c r="T149" s="298"/>
    </row>
    <row r="150" spans="3:20" s="159" customFormat="1" ht="15.6" hidden="1" x14ac:dyDescent="0.3">
      <c r="I150" s="300"/>
      <c r="J150" s="301"/>
      <c r="K150" s="304"/>
      <c r="L150" s="304"/>
      <c r="M150" s="305"/>
      <c r="N150" s="301"/>
      <c r="O150" s="305"/>
      <c r="P150" s="301"/>
      <c r="Q150" s="305"/>
      <c r="R150" s="298"/>
      <c r="S150" s="298"/>
      <c r="T150" s="298"/>
    </row>
    <row r="151" spans="3:20" s="159" customFormat="1" ht="15.6" hidden="1" x14ac:dyDescent="0.3">
      <c r="I151" s="300" t="s">
        <v>64</v>
      </c>
      <c r="J151" s="304"/>
      <c r="K151" s="302">
        <f>Q151/4</f>
        <v>1351.5</v>
      </c>
      <c r="L151" s="301"/>
      <c r="M151" s="302">
        <f>Q151/2</f>
        <v>2703</v>
      </c>
      <c r="N151" s="301"/>
      <c r="O151" s="302">
        <f>Q151/2</f>
        <v>2703</v>
      </c>
      <c r="P151" s="301"/>
      <c r="Q151" s="302">
        <v>5406</v>
      </c>
      <c r="R151" s="298"/>
      <c r="S151" s="298"/>
      <c r="T151" s="298"/>
    </row>
    <row r="152" spans="3:20" s="159" customFormat="1" ht="15.6" hidden="1" x14ac:dyDescent="0.3">
      <c r="I152" s="300" t="s">
        <v>65</v>
      </c>
      <c r="J152" s="304"/>
      <c r="K152" s="303">
        <f>K151*$S$88</f>
        <v>1408.2630000000001</v>
      </c>
      <c r="L152" s="301"/>
      <c r="M152" s="303">
        <f>M151*$S$88</f>
        <v>2816.5260000000003</v>
      </c>
      <c r="N152" s="301"/>
      <c r="O152" s="303">
        <f>O151*$S$88</f>
        <v>2816.5260000000003</v>
      </c>
      <c r="P152" s="301"/>
      <c r="Q152" s="303">
        <f>Q151*$S$88</f>
        <v>5633.0520000000006</v>
      </c>
      <c r="R152" s="298"/>
      <c r="S152" s="298"/>
      <c r="T152" s="298"/>
    </row>
    <row r="153" spans="3:20" s="159" customFormat="1" ht="15.6" hidden="1" x14ac:dyDescent="0.3">
      <c r="I153" s="300" t="s">
        <v>144</v>
      </c>
      <c r="J153" s="304"/>
      <c r="K153" s="303">
        <f t="shared" ref="K153:K158" si="22">K152*$S$88</f>
        <v>1467.4100460000002</v>
      </c>
      <c r="L153" s="301"/>
      <c r="M153" s="303">
        <f t="shared" ref="M153:M158" si="23">M152*$S$88</f>
        <v>2934.8200920000004</v>
      </c>
      <c r="N153" s="301"/>
      <c r="O153" s="303">
        <f t="shared" ref="O153:O158" si="24">O152*$S$88</f>
        <v>2934.8200920000004</v>
      </c>
      <c r="P153" s="301"/>
      <c r="Q153" s="303">
        <f t="shared" ref="Q153:Q158" si="25">Q152*$S$88</f>
        <v>5869.6401840000008</v>
      </c>
      <c r="R153" s="298"/>
      <c r="S153" s="298"/>
      <c r="T153" s="298"/>
    </row>
    <row r="154" spans="3:20" s="159" customFormat="1" ht="15.6" hidden="1" x14ac:dyDescent="0.3">
      <c r="I154" s="300" t="s">
        <v>148</v>
      </c>
      <c r="J154" s="304"/>
      <c r="K154" s="303">
        <f t="shared" si="22"/>
        <v>1529.0412679320002</v>
      </c>
      <c r="L154" s="301"/>
      <c r="M154" s="303">
        <f t="shared" si="23"/>
        <v>3058.0825358640004</v>
      </c>
      <c r="N154" s="301"/>
      <c r="O154" s="303">
        <f t="shared" si="24"/>
        <v>3058.0825358640004</v>
      </c>
      <c r="P154" s="301"/>
      <c r="Q154" s="303">
        <f t="shared" si="25"/>
        <v>6116.1650717280008</v>
      </c>
      <c r="R154" s="298"/>
      <c r="S154" s="298"/>
      <c r="T154" s="298"/>
    </row>
    <row r="155" spans="3:20" s="159" customFormat="1" ht="15.6" hidden="1" x14ac:dyDescent="0.3">
      <c r="I155" s="300" t="s">
        <v>149</v>
      </c>
      <c r="J155" s="304"/>
      <c r="K155" s="303">
        <f t="shared" si="22"/>
        <v>1593.2610011851443</v>
      </c>
      <c r="L155" s="301"/>
      <c r="M155" s="303">
        <f t="shared" si="23"/>
        <v>3186.5220023702886</v>
      </c>
      <c r="N155" s="301"/>
      <c r="O155" s="303">
        <f t="shared" si="24"/>
        <v>3186.5220023702886</v>
      </c>
      <c r="P155" s="301"/>
      <c r="Q155" s="303">
        <f t="shared" si="25"/>
        <v>6373.0440047405773</v>
      </c>
      <c r="R155" s="298"/>
      <c r="S155" s="298"/>
      <c r="T155" s="298"/>
    </row>
    <row r="156" spans="3:20" s="159" customFormat="1" ht="15.6" hidden="1" x14ac:dyDescent="0.3">
      <c r="I156" s="300" t="s">
        <v>167</v>
      </c>
      <c r="J156" s="304"/>
      <c r="K156" s="303">
        <f t="shared" si="22"/>
        <v>1660.1779632349205</v>
      </c>
      <c r="L156" s="301"/>
      <c r="M156" s="303">
        <f t="shared" si="23"/>
        <v>3320.3559264698411</v>
      </c>
      <c r="N156" s="301"/>
      <c r="O156" s="303">
        <f t="shared" si="24"/>
        <v>3320.3559264698411</v>
      </c>
      <c r="P156" s="301"/>
      <c r="Q156" s="303">
        <f t="shared" si="25"/>
        <v>6640.7118529396821</v>
      </c>
      <c r="R156" s="298"/>
      <c r="S156" s="298"/>
      <c r="T156" s="298"/>
    </row>
    <row r="157" spans="3:20" s="159" customFormat="1" ht="15.6" hidden="1" x14ac:dyDescent="0.3">
      <c r="I157" s="300" t="s">
        <v>171</v>
      </c>
      <c r="J157" s="304"/>
      <c r="K157" s="303">
        <f t="shared" si="22"/>
        <v>1729.9054376907873</v>
      </c>
      <c r="L157" s="301"/>
      <c r="M157" s="303">
        <f t="shared" si="23"/>
        <v>3459.8108753815745</v>
      </c>
      <c r="N157" s="301"/>
      <c r="O157" s="303">
        <f t="shared" si="24"/>
        <v>3459.8108753815745</v>
      </c>
      <c r="P157" s="301"/>
      <c r="Q157" s="303">
        <f t="shared" si="25"/>
        <v>6919.6217507631491</v>
      </c>
      <c r="R157" s="298"/>
      <c r="S157" s="298"/>
      <c r="T157" s="298"/>
    </row>
    <row r="158" spans="3:20" s="159" customFormat="1" ht="15.6" hidden="1" x14ac:dyDescent="0.3">
      <c r="I158" s="300" t="s">
        <v>232</v>
      </c>
      <c r="J158" s="304"/>
      <c r="K158" s="303">
        <f t="shared" si="22"/>
        <v>1802.5614660738004</v>
      </c>
      <c r="L158" s="301"/>
      <c r="M158" s="303">
        <f t="shared" si="23"/>
        <v>3605.1229321476007</v>
      </c>
      <c r="N158" s="301"/>
      <c r="O158" s="303">
        <f t="shared" si="24"/>
        <v>3605.1229321476007</v>
      </c>
      <c r="P158" s="301"/>
      <c r="Q158" s="303">
        <f t="shared" si="25"/>
        <v>7210.2458642952015</v>
      </c>
      <c r="R158" s="298"/>
      <c r="S158" s="298"/>
      <c r="T158" s="298"/>
    </row>
    <row r="159" spans="3:20" s="159" customFormat="1" ht="15.6" hidden="1" x14ac:dyDescent="0.3">
      <c r="I159" s="300"/>
      <c r="J159" s="304"/>
      <c r="K159" s="303">
        <v>0</v>
      </c>
      <c r="L159" s="304"/>
      <c r="M159" s="305"/>
      <c r="N159" s="301"/>
      <c r="O159" s="303">
        <v>0</v>
      </c>
      <c r="P159" s="301"/>
      <c r="Q159" s="305"/>
      <c r="R159" s="298"/>
      <c r="S159" s="298"/>
      <c r="T159" s="298"/>
    </row>
    <row r="160" spans="3:20" s="159" customFormat="1" ht="15.6" hidden="1" x14ac:dyDescent="0.3">
      <c r="I160" s="300" t="s">
        <v>66</v>
      </c>
      <c r="J160" s="304"/>
      <c r="K160" s="306">
        <f>Q160/4</f>
        <v>1351.5</v>
      </c>
      <c r="L160" s="307"/>
      <c r="M160" s="306">
        <f>Q160/2</f>
        <v>2703</v>
      </c>
      <c r="N160" s="307"/>
      <c r="O160" s="306">
        <f>Q160/2</f>
        <v>2703</v>
      </c>
      <c r="P160" s="307"/>
      <c r="Q160" s="306">
        <v>5406</v>
      </c>
      <c r="R160" s="298"/>
      <c r="S160" s="298"/>
      <c r="T160" s="298"/>
    </row>
    <row r="161" spans="9:20" s="159" customFormat="1" ht="15.6" hidden="1" x14ac:dyDescent="0.3">
      <c r="I161" s="300" t="s">
        <v>67</v>
      </c>
      <c r="J161" s="304"/>
      <c r="K161" s="303">
        <f>M161/2</f>
        <v>1408.2630000000001</v>
      </c>
      <c r="L161" s="307"/>
      <c r="M161" s="303">
        <f>O161</f>
        <v>2816.5260000000003</v>
      </c>
      <c r="N161" s="307"/>
      <c r="O161" s="303">
        <f>Q161/2</f>
        <v>2816.5260000000003</v>
      </c>
      <c r="P161" s="307"/>
      <c r="Q161" s="303">
        <f>Q160*$S$88</f>
        <v>5633.0520000000006</v>
      </c>
      <c r="R161" s="298"/>
      <c r="S161" s="298"/>
      <c r="T161" s="298"/>
    </row>
    <row r="162" spans="9:20" s="159" customFormat="1" ht="15.6" hidden="1" x14ac:dyDescent="0.3">
      <c r="I162" s="300" t="s">
        <v>145</v>
      </c>
      <c r="J162" s="304"/>
      <c r="K162" s="303">
        <f t="shared" ref="K162:K167" si="26">K161*$S$88</f>
        <v>1467.4100460000002</v>
      </c>
      <c r="L162" s="307"/>
      <c r="M162" s="303">
        <f t="shared" ref="M162:M167" si="27">M161*$S$88</f>
        <v>2934.8200920000004</v>
      </c>
      <c r="N162" s="307"/>
      <c r="O162" s="303">
        <f t="shared" ref="O162:O167" si="28">O161*$S$88</f>
        <v>2934.8200920000004</v>
      </c>
      <c r="P162" s="307"/>
      <c r="Q162" s="303">
        <f>Q161*$S$88</f>
        <v>5869.6401840000008</v>
      </c>
      <c r="R162" s="298"/>
      <c r="S162" s="298"/>
      <c r="T162" s="298"/>
    </row>
    <row r="163" spans="9:20" s="159" customFormat="1" ht="15.6" hidden="1" x14ac:dyDescent="0.3">
      <c r="I163" s="300" t="s">
        <v>150</v>
      </c>
      <c r="J163" s="304"/>
      <c r="K163" s="303">
        <f t="shared" si="26"/>
        <v>1529.0412679320002</v>
      </c>
      <c r="L163" s="307"/>
      <c r="M163" s="303">
        <f t="shared" si="27"/>
        <v>3058.0825358640004</v>
      </c>
      <c r="N163" s="307"/>
      <c r="O163" s="303">
        <f t="shared" si="28"/>
        <v>3058.0825358640004</v>
      </c>
      <c r="P163" s="307"/>
      <c r="Q163" s="303">
        <f t="shared" ref="Q163:Q167" si="29">Q162*$S$88</f>
        <v>6116.1650717280008</v>
      </c>
      <c r="R163" s="298"/>
      <c r="S163" s="298"/>
      <c r="T163" s="298"/>
    </row>
    <row r="164" spans="9:20" s="159" customFormat="1" ht="15.6" hidden="1" x14ac:dyDescent="0.3">
      <c r="I164" s="300" t="s">
        <v>151</v>
      </c>
      <c r="J164" s="304"/>
      <c r="K164" s="303">
        <f t="shared" si="26"/>
        <v>1593.2610011851443</v>
      </c>
      <c r="L164" s="307"/>
      <c r="M164" s="303">
        <f t="shared" si="27"/>
        <v>3186.5220023702886</v>
      </c>
      <c r="N164" s="307"/>
      <c r="O164" s="303">
        <f t="shared" si="28"/>
        <v>3186.5220023702886</v>
      </c>
      <c r="P164" s="307"/>
      <c r="Q164" s="303">
        <f t="shared" si="29"/>
        <v>6373.0440047405773</v>
      </c>
      <c r="R164" s="298"/>
      <c r="S164" s="298"/>
      <c r="T164" s="298"/>
    </row>
    <row r="165" spans="9:20" s="159" customFormat="1" ht="15.6" hidden="1" x14ac:dyDescent="0.3">
      <c r="I165" s="300" t="s">
        <v>164</v>
      </c>
      <c r="J165" s="304"/>
      <c r="K165" s="303">
        <f t="shared" si="26"/>
        <v>1660.1779632349205</v>
      </c>
      <c r="L165" s="307"/>
      <c r="M165" s="303">
        <f t="shared" si="27"/>
        <v>3320.3559264698411</v>
      </c>
      <c r="N165" s="307"/>
      <c r="O165" s="303">
        <f t="shared" si="28"/>
        <v>3320.3559264698411</v>
      </c>
      <c r="P165" s="307"/>
      <c r="Q165" s="303">
        <f t="shared" si="29"/>
        <v>6640.7118529396821</v>
      </c>
      <c r="R165" s="298"/>
      <c r="S165" s="298"/>
      <c r="T165" s="298"/>
    </row>
    <row r="166" spans="9:20" s="159" customFormat="1" ht="15.6" hidden="1" x14ac:dyDescent="0.3">
      <c r="I166" s="300" t="s">
        <v>169</v>
      </c>
      <c r="J166" s="304"/>
      <c r="K166" s="303">
        <f t="shared" si="26"/>
        <v>1729.9054376907873</v>
      </c>
      <c r="L166" s="307"/>
      <c r="M166" s="303">
        <f t="shared" si="27"/>
        <v>3459.8108753815745</v>
      </c>
      <c r="N166" s="307"/>
      <c r="O166" s="303">
        <f t="shared" si="28"/>
        <v>3459.8108753815745</v>
      </c>
      <c r="P166" s="307"/>
      <c r="Q166" s="303">
        <f t="shared" si="29"/>
        <v>6919.6217507631491</v>
      </c>
      <c r="R166" s="298"/>
      <c r="S166" s="298"/>
      <c r="T166" s="298"/>
    </row>
    <row r="167" spans="9:20" s="159" customFormat="1" ht="15.6" hidden="1" x14ac:dyDescent="0.3">
      <c r="I167" s="300" t="s">
        <v>172</v>
      </c>
      <c r="J167" s="304"/>
      <c r="K167" s="303">
        <f t="shared" si="26"/>
        <v>1802.5614660738004</v>
      </c>
      <c r="L167" s="307"/>
      <c r="M167" s="303">
        <f t="shared" si="27"/>
        <v>3605.1229321476007</v>
      </c>
      <c r="N167" s="307"/>
      <c r="O167" s="303">
        <f t="shared" si="28"/>
        <v>3605.1229321476007</v>
      </c>
      <c r="P167" s="307"/>
      <c r="Q167" s="303">
        <f t="shared" si="29"/>
        <v>7210.2458642952015</v>
      </c>
      <c r="R167" s="298"/>
      <c r="S167" s="298"/>
      <c r="T167" s="298"/>
    </row>
    <row r="168" spans="9:20" s="159" customFormat="1" ht="15.6" hidden="1" x14ac:dyDescent="0.3">
      <c r="I168" s="300"/>
      <c r="J168" s="304"/>
      <c r="K168" s="303">
        <v>0</v>
      </c>
      <c r="L168" s="304"/>
      <c r="M168" s="305"/>
      <c r="N168" s="301"/>
      <c r="O168" s="303">
        <v>0</v>
      </c>
      <c r="P168" s="301"/>
      <c r="Q168" s="305"/>
      <c r="R168" s="298"/>
      <c r="S168" s="298"/>
      <c r="T168" s="298"/>
    </row>
    <row r="169" spans="9:20" s="159" customFormat="1" ht="15.6" hidden="1" x14ac:dyDescent="0.3">
      <c r="I169" s="300" t="s">
        <v>68</v>
      </c>
      <c r="J169" s="304"/>
      <c r="K169" s="308">
        <f>Q169/4</f>
        <v>736.25</v>
      </c>
      <c r="L169" s="301"/>
      <c r="M169" s="308">
        <f>Q169/2</f>
        <v>1472.5</v>
      </c>
      <c r="N169" s="301"/>
      <c r="O169" s="308">
        <f>Q169/2</f>
        <v>1472.5</v>
      </c>
      <c r="P169" s="309"/>
      <c r="Q169" s="308">
        <v>2945</v>
      </c>
      <c r="R169" s="298"/>
      <c r="S169" s="298"/>
      <c r="T169" s="298"/>
    </row>
    <row r="170" spans="9:20" s="159" customFormat="1" ht="15.6" hidden="1" x14ac:dyDescent="0.3">
      <c r="I170" s="300" t="s">
        <v>69</v>
      </c>
      <c r="J170" s="304"/>
      <c r="K170" s="303">
        <f>K169*$S$88</f>
        <v>767.17250000000001</v>
      </c>
      <c r="L170" s="301"/>
      <c r="M170" s="303">
        <f>M169*$S$88</f>
        <v>1534.345</v>
      </c>
      <c r="N170" s="301"/>
      <c r="O170" s="303">
        <f>O169*$S$88</f>
        <v>1534.345</v>
      </c>
      <c r="P170" s="309"/>
      <c r="Q170" s="303">
        <f>Q169*$S$88</f>
        <v>3068.69</v>
      </c>
      <c r="R170" s="298"/>
      <c r="S170" s="298"/>
      <c r="T170" s="298"/>
    </row>
    <row r="171" spans="9:20" s="159" customFormat="1" ht="15.6" hidden="1" x14ac:dyDescent="0.3">
      <c r="I171" s="300" t="s">
        <v>146</v>
      </c>
      <c r="J171" s="304"/>
      <c r="K171" s="303">
        <f t="shared" ref="K171:K176" si="30">K170*$S$88</f>
        <v>799.39374500000008</v>
      </c>
      <c r="L171" s="301"/>
      <c r="M171" s="303">
        <f t="shared" ref="M171:M176" si="31">M170*$S$88</f>
        <v>1598.7874900000002</v>
      </c>
      <c r="N171" s="301"/>
      <c r="O171" s="303">
        <f t="shared" ref="O171:O176" si="32">O170*$S$88</f>
        <v>1598.7874900000002</v>
      </c>
      <c r="P171" s="309"/>
      <c r="Q171" s="303">
        <f t="shared" ref="Q171:Q176" si="33">Q170*$S$88</f>
        <v>3197.5749800000003</v>
      </c>
      <c r="R171" s="298"/>
      <c r="S171" s="298"/>
      <c r="T171" s="298"/>
    </row>
    <row r="172" spans="9:20" s="159" customFormat="1" ht="15.6" hidden="1" x14ac:dyDescent="0.3">
      <c r="I172" s="300" t="s">
        <v>152</v>
      </c>
      <c r="J172" s="304"/>
      <c r="K172" s="303">
        <f t="shared" si="30"/>
        <v>832.96828229000016</v>
      </c>
      <c r="L172" s="301"/>
      <c r="M172" s="303">
        <f t="shared" si="31"/>
        <v>1665.9365645800003</v>
      </c>
      <c r="N172" s="301"/>
      <c r="O172" s="303">
        <f t="shared" si="32"/>
        <v>1665.9365645800003</v>
      </c>
      <c r="P172" s="309"/>
      <c r="Q172" s="303">
        <f t="shared" si="33"/>
        <v>3331.8731291600006</v>
      </c>
      <c r="R172" s="298"/>
      <c r="S172" s="298"/>
      <c r="T172" s="298"/>
    </row>
    <row r="173" spans="9:20" s="159" customFormat="1" ht="15.6" hidden="1" x14ac:dyDescent="0.3">
      <c r="I173" s="300" t="s">
        <v>153</v>
      </c>
      <c r="J173" s="304"/>
      <c r="K173" s="303">
        <f t="shared" si="30"/>
        <v>867.95295014618023</v>
      </c>
      <c r="L173" s="301"/>
      <c r="M173" s="303">
        <f t="shared" si="31"/>
        <v>1735.9059002923605</v>
      </c>
      <c r="N173" s="301"/>
      <c r="O173" s="303">
        <f t="shared" si="32"/>
        <v>1735.9059002923605</v>
      </c>
      <c r="P173" s="309"/>
      <c r="Q173" s="303">
        <f t="shared" si="33"/>
        <v>3471.8118005847209</v>
      </c>
      <c r="R173" s="298"/>
      <c r="S173" s="298"/>
      <c r="T173" s="298"/>
    </row>
    <row r="174" spans="9:20" s="159" customFormat="1" ht="15.6" hidden="1" x14ac:dyDescent="0.3">
      <c r="I174" s="300" t="s">
        <v>168</v>
      </c>
      <c r="J174" s="304"/>
      <c r="K174" s="303">
        <f t="shared" si="30"/>
        <v>904.40697405231981</v>
      </c>
      <c r="L174" s="301"/>
      <c r="M174" s="303">
        <f t="shared" si="31"/>
        <v>1808.8139481046396</v>
      </c>
      <c r="N174" s="301"/>
      <c r="O174" s="303">
        <f t="shared" si="32"/>
        <v>1808.8139481046396</v>
      </c>
      <c r="P174" s="309"/>
      <c r="Q174" s="303">
        <f t="shared" si="33"/>
        <v>3617.6278962092792</v>
      </c>
      <c r="R174" s="298"/>
      <c r="S174" s="298"/>
      <c r="T174" s="298"/>
    </row>
    <row r="175" spans="9:20" s="159" customFormat="1" ht="15.6" hidden="1" x14ac:dyDescent="0.3">
      <c r="I175" s="300" t="s">
        <v>173</v>
      </c>
      <c r="J175" s="304"/>
      <c r="K175" s="303">
        <f t="shared" si="30"/>
        <v>942.39206696251733</v>
      </c>
      <c r="L175" s="301"/>
      <c r="M175" s="303">
        <f t="shared" si="31"/>
        <v>1884.7841339250347</v>
      </c>
      <c r="N175" s="301"/>
      <c r="O175" s="303">
        <f t="shared" si="32"/>
        <v>1884.7841339250347</v>
      </c>
      <c r="P175" s="309"/>
      <c r="Q175" s="303">
        <f t="shared" si="33"/>
        <v>3769.5682678500693</v>
      </c>
      <c r="R175" s="298"/>
      <c r="S175" s="298"/>
      <c r="T175" s="298"/>
    </row>
    <row r="176" spans="9:20" s="159" customFormat="1" ht="15.6" hidden="1" x14ac:dyDescent="0.3">
      <c r="I176" s="300" t="s">
        <v>233</v>
      </c>
      <c r="J176" s="311"/>
      <c r="K176" s="303">
        <f t="shared" si="30"/>
        <v>981.97253377494314</v>
      </c>
      <c r="L176" s="312"/>
      <c r="M176" s="303">
        <f t="shared" si="31"/>
        <v>1963.9450675498863</v>
      </c>
      <c r="N176" s="312"/>
      <c r="O176" s="303">
        <f t="shared" si="32"/>
        <v>1963.9450675498863</v>
      </c>
      <c r="P176" s="313"/>
      <c r="Q176" s="303">
        <f t="shared" si="33"/>
        <v>3927.8901350997726</v>
      </c>
      <c r="R176" s="314"/>
      <c r="S176" s="314"/>
      <c r="T176" s="298"/>
    </row>
    <row r="177" spans="9:20" s="156" customFormat="1" ht="15" hidden="1" x14ac:dyDescent="0.25"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</row>
    <row r="178" spans="9:20" s="156" customFormat="1" ht="18" hidden="1" customHeight="1" x14ac:dyDescent="0.25">
      <c r="I178" s="310" t="s">
        <v>234</v>
      </c>
      <c r="J178" s="310"/>
      <c r="K178" s="310"/>
      <c r="L178" s="310"/>
      <c r="M178" s="310"/>
      <c r="N178" s="310"/>
      <c r="O178" s="310"/>
      <c r="P178" s="310"/>
      <c r="Q178" s="310"/>
      <c r="R178" s="295"/>
      <c r="S178" s="295"/>
      <c r="T178" s="295"/>
    </row>
    <row r="179" spans="9:20" s="156" customFormat="1" ht="15" hidden="1" x14ac:dyDescent="0.25">
      <c r="I179" s="304"/>
      <c r="J179" s="301"/>
      <c r="K179" s="305" t="s">
        <v>58</v>
      </c>
      <c r="L179" s="301"/>
      <c r="M179" s="305" t="s">
        <v>59</v>
      </c>
      <c r="N179" s="301"/>
      <c r="O179" s="305" t="s">
        <v>60</v>
      </c>
      <c r="P179" s="301"/>
      <c r="Q179" s="305" t="s">
        <v>61</v>
      </c>
      <c r="R179" s="295"/>
      <c r="S179" s="295"/>
      <c r="T179" s="295"/>
    </row>
    <row r="180" spans="9:20" s="156" customFormat="1" ht="15" hidden="1" x14ac:dyDescent="0.25">
      <c r="I180" s="300"/>
      <c r="J180" s="301"/>
      <c r="K180" s="304"/>
      <c r="L180" s="304"/>
      <c r="M180" s="305"/>
      <c r="N180" s="301"/>
      <c r="O180" s="305"/>
      <c r="P180" s="301"/>
      <c r="Q180" s="305"/>
      <c r="R180" s="295"/>
      <c r="S180" s="295"/>
      <c r="T180" s="295"/>
    </row>
    <row r="181" spans="9:20" s="156" customFormat="1" ht="15" hidden="1" x14ac:dyDescent="0.25">
      <c r="I181" s="300" t="s">
        <v>64</v>
      </c>
      <c r="J181" s="304"/>
      <c r="K181" s="302">
        <f>Q181/4</f>
        <v>1164.75</v>
      </c>
      <c r="L181" s="301"/>
      <c r="M181" s="302">
        <f>Q181/2</f>
        <v>2329.5</v>
      </c>
      <c r="N181" s="301"/>
      <c r="O181" s="302">
        <f>Q181/2</f>
        <v>2329.5</v>
      </c>
      <c r="P181" s="301"/>
      <c r="Q181" s="302">
        <v>4659</v>
      </c>
      <c r="R181" s="295"/>
      <c r="S181" s="295"/>
      <c r="T181" s="295"/>
    </row>
    <row r="182" spans="9:20" s="156" customFormat="1" ht="15" hidden="1" x14ac:dyDescent="0.25">
      <c r="I182" s="300" t="s">
        <v>65</v>
      </c>
      <c r="J182" s="304"/>
      <c r="K182" s="303">
        <f>K181*$S$88</f>
        <v>1213.6695</v>
      </c>
      <c r="L182" s="301"/>
      <c r="M182" s="303">
        <f>M181*$S$88</f>
        <v>2427.3389999999999</v>
      </c>
      <c r="N182" s="301"/>
      <c r="O182" s="303">
        <f>O181*$S$88</f>
        <v>2427.3389999999999</v>
      </c>
      <c r="P182" s="301"/>
      <c r="Q182" s="303">
        <f>Q181*$S$88</f>
        <v>4854.6779999999999</v>
      </c>
      <c r="R182" s="295"/>
      <c r="S182" s="295"/>
      <c r="T182" s="295"/>
    </row>
    <row r="183" spans="9:20" s="156" customFormat="1" ht="15" hidden="1" x14ac:dyDescent="0.25">
      <c r="I183" s="300" t="s">
        <v>144</v>
      </c>
      <c r="J183" s="304"/>
      <c r="K183" s="303">
        <f t="shared" ref="K183:K188" si="34">K182*$S$88</f>
        <v>1264.6436189999999</v>
      </c>
      <c r="L183" s="301"/>
      <c r="M183" s="303">
        <f t="shared" ref="M183:M188" si="35">M182*$S$88</f>
        <v>2529.2872379999999</v>
      </c>
      <c r="N183" s="301"/>
      <c r="O183" s="303">
        <f t="shared" ref="O183:O188" si="36">O182*$S$88</f>
        <v>2529.2872379999999</v>
      </c>
      <c r="P183" s="301"/>
      <c r="Q183" s="303">
        <f t="shared" ref="Q183:Q188" si="37">Q182*$S$88</f>
        <v>5058.5744759999998</v>
      </c>
      <c r="R183" s="295"/>
      <c r="S183" s="295"/>
      <c r="T183" s="295"/>
    </row>
    <row r="184" spans="9:20" s="156" customFormat="1" ht="15" hidden="1" x14ac:dyDescent="0.25">
      <c r="I184" s="300" t="s">
        <v>148</v>
      </c>
      <c r="J184" s="304"/>
      <c r="K184" s="303">
        <f t="shared" si="34"/>
        <v>1317.7586509979999</v>
      </c>
      <c r="L184" s="301"/>
      <c r="M184" s="303">
        <f t="shared" si="35"/>
        <v>2635.5173019959998</v>
      </c>
      <c r="N184" s="301"/>
      <c r="O184" s="303">
        <f t="shared" si="36"/>
        <v>2635.5173019959998</v>
      </c>
      <c r="P184" s="301"/>
      <c r="Q184" s="303">
        <f t="shared" si="37"/>
        <v>5271.0346039919996</v>
      </c>
      <c r="R184" s="295"/>
      <c r="S184" s="295"/>
      <c r="T184" s="295"/>
    </row>
    <row r="185" spans="9:20" s="156" customFormat="1" ht="15" hidden="1" x14ac:dyDescent="0.25">
      <c r="I185" s="300" t="s">
        <v>149</v>
      </c>
      <c r="J185" s="304"/>
      <c r="K185" s="303">
        <f t="shared" si="34"/>
        <v>1373.104514339916</v>
      </c>
      <c r="L185" s="301"/>
      <c r="M185" s="303">
        <f t="shared" si="35"/>
        <v>2746.209028679832</v>
      </c>
      <c r="N185" s="301"/>
      <c r="O185" s="303">
        <f t="shared" si="36"/>
        <v>2746.209028679832</v>
      </c>
      <c r="P185" s="301"/>
      <c r="Q185" s="303">
        <f t="shared" si="37"/>
        <v>5492.4180573596641</v>
      </c>
      <c r="R185" s="295"/>
      <c r="S185" s="295"/>
      <c r="T185" s="295"/>
    </row>
    <row r="186" spans="9:20" s="156" customFormat="1" ht="15" hidden="1" x14ac:dyDescent="0.25">
      <c r="I186" s="300" t="s">
        <v>167</v>
      </c>
      <c r="J186" s="304"/>
      <c r="K186" s="303">
        <f t="shared" si="34"/>
        <v>1430.7749039421926</v>
      </c>
      <c r="L186" s="301"/>
      <c r="M186" s="303">
        <f t="shared" si="35"/>
        <v>2861.5498078843852</v>
      </c>
      <c r="N186" s="301"/>
      <c r="O186" s="303">
        <f t="shared" si="36"/>
        <v>2861.5498078843852</v>
      </c>
      <c r="P186" s="301"/>
      <c r="Q186" s="303">
        <f t="shared" si="37"/>
        <v>5723.0996157687705</v>
      </c>
      <c r="R186" s="295"/>
      <c r="S186" s="295"/>
      <c r="T186" s="295"/>
    </row>
    <row r="187" spans="9:20" s="156" customFormat="1" ht="15" hidden="1" x14ac:dyDescent="0.25">
      <c r="I187" s="300" t="s">
        <v>171</v>
      </c>
      <c r="J187" s="304"/>
      <c r="K187" s="303">
        <f t="shared" si="34"/>
        <v>1490.8674499077647</v>
      </c>
      <c r="L187" s="301"/>
      <c r="M187" s="303">
        <f t="shared" si="35"/>
        <v>2981.7348998155294</v>
      </c>
      <c r="N187" s="301"/>
      <c r="O187" s="303">
        <f t="shared" si="36"/>
        <v>2981.7348998155294</v>
      </c>
      <c r="P187" s="301"/>
      <c r="Q187" s="303">
        <f t="shared" si="37"/>
        <v>5963.4697996310588</v>
      </c>
      <c r="R187" s="295"/>
      <c r="S187" s="295"/>
      <c r="T187" s="295"/>
    </row>
    <row r="188" spans="9:20" s="156" customFormat="1" ht="15" hidden="1" x14ac:dyDescent="0.25">
      <c r="I188" s="300" t="s">
        <v>232</v>
      </c>
      <c r="J188" s="304"/>
      <c r="K188" s="303">
        <f t="shared" si="34"/>
        <v>1553.4838828038908</v>
      </c>
      <c r="L188" s="301"/>
      <c r="M188" s="303">
        <f t="shared" si="35"/>
        <v>3106.9677656077815</v>
      </c>
      <c r="N188" s="301"/>
      <c r="O188" s="303">
        <f t="shared" si="36"/>
        <v>3106.9677656077815</v>
      </c>
      <c r="P188" s="301"/>
      <c r="Q188" s="303">
        <f t="shared" si="37"/>
        <v>6213.9355312155631</v>
      </c>
      <c r="R188" s="295"/>
      <c r="S188" s="295"/>
      <c r="T188" s="295"/>
    </row>
    <row r="189" spans="9:20" s="156" customFormat="1" ht="15" hidden="1" x14ac:dyDescent="0.25">
      <c r="I189" s="300"/>
      <c r="J189" s="304"/>
      <c r="K189" s="303">
        <v>0</v>
      </c>
      <c r="L189" s="304"/>
      <c r="M189" s="305"/>
      <c r="N189" s="301"/>
      <c r="O189" s="303">
        <v>0</v>
      </c>
      <c r="P189" s="301"/>
      <c r="Q189" s="305"/>
      <c r="R189" s="295"/>
      <c r="S189" s="295"/>
      <c r="T189" s="295"/>
    </row>
    <row r="190" spans="9:20" s="156" customFormat="1" ht="15" hidden="1" x14ac:dyDescent="0.25">
      <c r="I190" s="300" t="s">
        <v>66</v>
      </c>
      <c r="J190" s="304"/>
      <c r="K190" s="306">
        <f>Q190/4</f>
        <v>1164.75</v>
      </c>
      <c r="L190" s="307"/>
      <c r="M190" s="306">
        <f>Q190/2</f>
        <v>2329.5</v>
      </c>
      <c r="N190" s="307"/>
      <c r="O190" s="306">
        <f>Q190/2</f>
        <v>2329.5</v>
      </c>
      <c r="P190" s="307"/>
      <c r="Q190" s="306">
        <v>4659</v>
      </c>
      <c r="R190" s="295"/>
      <c r="S190" s="295"/>
      <c r="T190" s="295"/>
    </row>
    <row r="191" spans="9:20" s="156" customFormat="1" ht="15" hidden="1" x14ac:dyDescent="0.25">
      <c r="I191" s="300" t="s">
        <v>67</v>
      </c>
      <c r="J191" s="304"/>
      <c r="K191" s="303">
        <f>M191/2</f>
        <v>1213.6695</v>
      </c>
      <c r="L191" s="307"/>
      <c r="M191" s="303">
        <f>O191</f>
        <v>2427.3389999999999</v>
      </c>
      <c r="N191" s="307"/>
      <c r="O191" s="303">
        <f>Q191/2</f>
        <v>2427.3389999999999</v>
      </c>
      <c r="P191" s="307"/>
      <c r="Q191" s="303">
        <f>Q190*$S$88</f>
        <v>4854.6779999999999</v>
      </c>
      <c r="R191" s="295"/>
      <c r="S191" s="295"/>
      <c r="T191" s="295"/>
    </row>
    <row r="192" spans="9:20" s="156" customFormat="1" ht="15" hidden="1" x14ac:dyDescent="0.25">
      <c r="I192" s="300" t="s">
        <v>145</v>
      </c>
      <c r="J192" s="304"/>
      <c r="K192" s="303">
        <f t="shared" ref="K192:K197" si="38">K191*$S$88</f>
        <v>1264.6436189999999</v>
      </c>
      <c r="L192" s="307"/>
      <c r="M192" s="303">
        <f t="shared" ref="M192:M197" si="39">M191*$S$88</f>
        <v>2529.2872379999999</v>
      </c>
      <c r="N192" s="307"/>
      <c r="O192" s="303">
        <f t="shared" ref="O192:O197" si="40">O191*$S$88</f>
        <v>2529.2872379999999</v>
      </c>
      <c r="P192" s="307"/>
      <c r="Q192" s="303">
        <f>Q191*$S$88</f>
        <v>5058.5744759999998</v>
      </c>
      <c r="R192" s="295"/>
      <c r="S192" s="295"/>
      <c r="T192" s="295"/>
    </row>
    <row r="193" spans="9:20" s="156" customFormat="1" ht="15" hidden="1" x14ac:dyDescent="0.25">
      <c r="I193" s="300" t="s">
        <v>150</v>
      </c>
      <c r="J193" s="304"/>
      <c r="K193" s="303">
        <f t="shared" si="38"/>
        <v>1317.7586509979999</v>
      </c>
      <c r="L193" s="307"/>
      <c r="M193" s="303">
        <f t="shared" si="39"/>
        <v>2635.5173019959998</v>
      </c>
      <c r="N193" s="307"/>
      <c r="O193" s="303">
        <f t="shared" si="40"/>
        <v>2635.5173019959998</v>
      </c>
      <c r="P193" s="307"/>
      <c r="Q193" s="303">
        <f t="shared" ref="Q193:Q197" si="41">Q192*$S$88</f>
        <v>5271.0346039919996</v>
      </c>
      <c r="R193" s="295"/>
      <c r="S193" s="295"/>
      <c r="T193" s="295"/>
    </row>
    <row r="194" spans="9:20" s="156" customFormat="1" ht="15" hidden="1" x14ac:dyDescent="0.25">
      <c r="I194" s="300" t="s">
        <v>151</v>
      </c>
      <c r="J194" s="304"/>
      <c r="K194" s="303">
        <f t="shared" si="38"/>
        <v>1373.104514339916</v>
      </c>
      <c r="L194" s="307"/>
      <c r="M194" s="303">
        <f t="shared" si="39"/>
        <v>2746.209028679832</v>
      </c>
      <c r="N194" s="307"/>
      <c r="O194" s="303">
        <f t="shared" si="40"/>
        <v>2746.209028679832</v>
      </c>
      <c r="P194" s="307"/>
      <c r="Q194" s="303">
        <f t="shared" si="41"/>
        <v>5492.4180573596641</v>
      </c>
      <c r="R194" s="295"/>
      <c r="S194" s="295"/>
      <c r="T194" s="295"/>
    </row>
    <row r="195" spans="9:20" s="156" customFormat="1" ht="15" hidden="1" x14ac:dyDescent="0.25">
      <c r="I195" s="300" t="s">
        <v>164</v>
      </c>
      <c r="J195" s="304"/>
      <c r="K195" s="303">
        <f t="shared" si="38"/>
        <v>1430.7749039421926</v>
      </c>
      <c r="L195" s="307"/>
      <c r="M195" s="303">
        <f t="shared" si="39"/>
        <v>2861.5498078843852</v>
      </c>
      <c r="N195" s="307"/>
      <c r="O195" s="303">
        <f t="shared" si="40"/>
        <v>2861.5498078843852</v>
      </c>
      <c r="P195" s="307"/>
      <c r="Q195" s="303">
        <f t="shared" si="41"/>
        <v>5723.0996157687705</v>
      </c>
      <c r="R195" s="295"/>
      <c r="S195" s="295"/>
      <c r="T195" s="295"/>
    </row>
    <row r="196" spans="9:20" s="156" customFormat="1" ht="15" hidden="1" x14ac:dyDescent="0.25">
      <c r="I196" s="300" t="s">
        <v>169</v>
      </c>
      <c r="J196" s="304"/>
      <c r="K196" s="303">
        <f t="shared" si="38"/>
        <v>1490.8674499077647</v>
      </c>
      <c r="L196" s="307"/>
      <c r="M196" s="303">
        <f t="shared" si="39"/>
        <v>2981.7348998155294</v>
      </c>
      <c r="N196" s="307"/>
      <c r="O196" s="303">
        <f t="shared" si="40"/>
        <v>2981.7348998155294</v>
      </c>
      <c r="P196" s="307"/>
      <c r="Q196" s="303">
        <f t="shared" si="41"/>
        <v>5963.4697996310588</v>
      </c>
      <c r="R196" s="295"/>
      <c r="S196" s="295"/>
      <c r="T196" s="295"/>
    </row>
    <row r="197" spans="9:20" s="156" customFormat="1" ht="15" hidden="1" x14ac:dyDescent="0.25">
      <c r="I197" s="300" t="s">
        <v>172</v>
      </c>
      <c r="J197" s="304"/>
      <c r="K197" s="303">
        <f t="shared" si="38"/>
        <v>1553.4838828038908</v>
      </c>
      <c r="L197" s="307"/>
      <c r="M197" s="303">
        <f t="shared" si="39"/>
        <v>3106.9677656077815</v>
      </c>
      <c r="N197" s="307"/>
      <c r="O197" s="303">
        <f t="shared" si="40"/>
        <v>3106.9677656077815</v>
      </c>
      <c r="P197" s="307"/>
      <c r="Q197" s="303">
        <f t="shared" si="41"/>
        <v>6213.9355312155631</v>
      </c>
      <c r="R197" s="295"/>
      <c r="S197" s="295"/>
      <c r="T197" s="295"/>
    </row>
    <row r="198" spans="9:20" s="156" customFormat="1" ht="15" hidden="1" x14ac:dyDescent="0.25">
      <c r="I198" s="300"/>
      <c r="J198" s="304"/>
      <c r="K198" s="303">
        <v>0</v>
      </c>
      <c r="L198" s="304"/>
      <c r="M198" s="305"/>
      <c r="N198" s="301"/>
      <c r="O198" s="303">
        <v>0</v>
      </c>
      <c r="P198" s="301"/>
      <c r="Q198" s="305"/>
      <c r="R198" s="295"/>
      <c r="S198" s="295"/>
      <c r="T198" s="295"/>
    </row>
    <row r="199" spans="9:20" s="156" customFormat="1" ht="15" hidden="1" x14ac:dyDescent="0.25">
      <c r="I199" s="300" t="s">
        <v>68</v>
      </c>
      <c r="J199" s="304"/>
      <c r="K199" s="308">
        <f>Q199/4</f>
        <v>632.5</v>
      </c>
      <c r="L199" s="301"/>
      <c r="M199" s="308">
        <f>Q199/2</f>
        <v>1265</v>
      </c>
      <c r="N199" s="301"/>
      <c r="O199" s="308">
        <f>Q199/2</f>
        <v>1265</v>
      </c>
      <c r="P199" s="309"/>
      <c r="Q199" s="308">
        <v>2530</v>
      </c>
      <c r="R199" s="295"/>
      <c r="S199" s="295"/>
      <c r="T199" s="295"/>
    </row>
    <row r="200" spans="9:20" s="156" customFormat="1" ht="15" hidden="1" x14ac:dyDescent="0.25">
      <c r="I200" s="300" t="s">
        <v>69</v>
      </c>
      <c r="J200" s="304"/>
      <c r="K200" s="303">
        <f>K199*$S$88</f>
        <v>659.06500000000005</v>
      </c>
      <c r="L200" s="301"/>
      <c r="M200" s="303">
        <f>M199*$S$88</f>
        <v>1318.13</v>
      </c>
      <c r="N200" s="301"/>
      <c r="O200" s="303">
        <f>O199*$S$88</f>
        <v>1318.13</v>
      </c>
      <c r="P200" s="309"/>
      <c r="Q200" s="303">
        <f>Q199*$S$88</f>
        <v>2636.26</v>
      </c>
      <c r="R200" s="295"/>
      <c r="S200" s="295"/>
      <c r="T200" s="295"/>
    </row>
    <row r="201" spans="9:20" s="156" customFormat="1" ht="15" hidden="1" x14ac:dyDescent="0.25">
      <c r="I201" s="300" t="s">
        <v>146</v>
      </c>
      <c r="J201" s="304"/>
      <c r="K201" s="303">
        <f t="shared" ref="K201:K206" si="42">K200*$S$88</f>
        <v>686.74573000000009</v>
      </c>
      <c r="L201" s="301"/>
      <c r="M201" s="303">
        <f t="shared" ref="M201:M206" si="43">M200*$S$88</f>
        <v>1373.4914600000002</v>
      </c>
      <c r="N201" s="301"/>
      <c r="O201" s="303">
        <f t="shared" ref="O201:O206" si="44">O200*$S$88</f>
        <v>1373.4914600000002</v>
      </c>
      <c r="P201" s="309"/>
      <c r="Q201" s="303">
        <f t="shared" ref="Q201:Q206" si="45">Q200*$S$88</f>
        <v>2746.9829200000004</v>
      </c>
      <c r="R201" s="295"/>
      <c r="S201" s="295"/>
      <c r="T201" s="295"/>
    </row>
    <row r="202" spans="9:20" s="156" customFormat="1" ht="15" hidden="1" x14ac:dyDescent="0.25">
      <c r="I202" s="300" t="s">
        <v>152</v>
      </c>
      <c r="J202" s="304"/>
      <c r="K202" s="303">
        <f t="shared" si="42"/>
        <v>715.58905066000011</v>
      </c>
      <c r="L202" s="301"/>
      <c r="M202" s="303">
        <f t="shared" si="43"/>
        <v>1431.1781013200002</v>
      </c>
      <c r="N202" s="301"/>
      <c r="O202" s="303">
        <f t="shared" si="44"/>
        <v>1431.1781013200002</v>
      </c>
      <c r="P202" s="309"/>
      <c r="Q202" s="303">
        <f t="shared" si="45"/>
        <v>2862.3562026400004</v>
      </c>
      <c r="R202" s="295"/>
      <c r="S202" s="295"/>
      <c r="T202" s="295"/>
    </row>
    <row r="203" spans="9:20" s="156" customFormat="1" ht="15" hidden="1" x14ac:dyDescent="0.25">
      <c r="I203" s="300" t="s">
        <v>153</v>
      </c>
      <c r="J203" s="304"/>
      <c r="K203" s="303">
        <f t="shared" si="42"/>
        <v>745.64379078772015</v>
      </c>
      <c r="L203" s="301"/>
      <c r="M203" s="303">
        <f t="shared" si="43"/>
        <v>1491.2875815754403</v>
      </c>
      <c r="N203" s="301"/>
      <c r="O203" s="303">
        <f t="shared" si="44"/>
        <v>1491.2875815754403</v>
      </c>
      <c r="P203" s="309"/>
      <c r="Q203" s="303">
        <f t="shared" si="45"/>
        <v>2982.5751631508806</v>
      </c>
      <c r="R203" s="295"/>
      <c r="S203" s="295"/>
      <c r="T203" s="295"/>
    </row>
    <row r="204" spans="9:20" s="156" customFormat="1" ht="15" hidden="1" x14ac:dyDescent="0.25">
      <c r="I204" s="300" t="s">
        <v>168</v>
      </c>
      <c r="J204" s="304"/>
      <c r="K204" s="303">
        <f t="shared" si="42"/>
        <v>776.96083000080444</v>
      </c>
      <c r="L204" s="301"/>
      <c r="M204" s="303">
        <f t="shared" si="43"/>
        <v>1553.9216600016089</v>
      </c>
      <c r="N204" s="301"/>
      <c r="O204" s="303">
        <f t="shared" si="44"/>
        <v>1553.9216600016089</v>
      </c>
      <c r="P204" s="309"/>
      <c r="Q204" s="303">
        <f t="shared" si="45"/>
        <v>3107.8433200032177</v>
      </c>
      <c r="R204" s="295"/>
      <c r="S204" s="295"/>
      <c r="T204" s="295"/>
    </row>
    <row r="205" spans="9:20" s="156" customFormat="1" ht="15" hidden="1" x14ac:dyDescent="0.25">
      <c r="I205" s="300" t="s">
        <v>173</v>
      </c>
      <c r="J205" s="304"/>
      <c r="K205" s="303">
        <f t="shared" si="42"/>
        <v>809.59318486083828</v>
      </c>
      <c r="L205" s="301"/>
      <c r="M205" s="303">
        <f t="shared" si="43"/>
        <v>1619.1863697216766</v>
      </c>
      <c r="N205" s="301"/>
      <c r="O205" s="303">
        <f t="shared" si="44"/>
        <v>1619.1863697216766</v>
      </c>
      <c r="P205" s="309"/>
      <c r="Q205" s="303">
        <f t="shared" si="45"/>
        <v>3238.3727394433531</v>
      </c>
      <c r="R205" s="295"/>
      <c r="S205" s="295"/>
      <c r="T205" s="295"/>
    </row>
    <row r="206" spans="9:20" s="156" customFormat="1" ht="15" hidden="1" x14ac:dyDescent="0.25">
      <c r="I206" s="300" t="s">
        <v>233</v>
      </c>
      <c r="J206" s="311"/>
      <c r="K206" s="303">
        <f t="shared" si="42"/>
        <v>843.59609862499349</v>
      </c>
      <c r="L206" s="312"/>
      <c r="M206" s="303">
        <f t="shared" si="43"/>
        <v>1687.192197249987</v>
      </c>
      <c r="N206" s="312"/>
      <c r="O206" s="303">
        <f t="shared" si="44"/>
        <v>1687.192197249987</v>
      </c>
      <c r="P206" s="313"/>
      <c r="Q206" s="303">
        <f t="shared" si="45"/>
        <v>3374.384394499974</v>
      </c>
      <c r="R206" s="295"/>
      <c r="S206" s="295"/>
      <c r="T206" s="295"/>
    </row>
    <row r="207" spans="9:20" s="156" customFormat="1" ht="15" hidden="1" x14ac:dyDescent="0.25"/>
  </sheetData>
  <sheetProtection selectLockedCells="1"/>
  <mergeCells count="50">
    <mergeCell ref="C31:H31"/>
    <mergeCell ref="C6:F6"/>
    <mergeCell ref="C7:F7"/>
    <mergeCell ref="C8:F8"/>
    <mergeCell ref="C67:F67"/>
    <mergeCell ref="C3:I3"/>
    <mergeCell ref="C11:H11"/>
    <mergeCell ref="C26:F26"/>
    <mergeCell ref="C27:F27"/>
    <mergeCell ref="C28:F28"/>
    <mergeCell ref="A59:A63"/>
    <mergeCell ref="C59:D59"/>
    <mergeCell ref="C61:D61"/>
    <mergeCell ref="C63:D63"/>
    <mergeCell ref="C46:F46"/>
    <mergeCell ref="A53:A57"/>
    <mergeCell ref="C53:D53"/>
    <mergeCell ref="C55:D55"/>
    <mergeCell ref="C57:D57"/>
    <mergeCell ref="C47:F47"/>
    <mergeCell ref="C48:F48"/>
    <mergeCell ref="C51:H51"/>
    <mergeCell ref="A13:A17"/>
    <mergeCell ref="C13:D13"/>
    <mergeCell ref="C15:D15"/>
    <mergeCell ref="C17:D17"/>
    <mergeCell ref="A19:A23"/>
    <mergeCell ref="C19:D19"/>
    <mergeCell ref="C21:D21"/>
    <mergeCell ref="C23:D23"/>
    <mergeCell ref="A39:A43"/>
    <mergeCell ref="C39:D39"/>
    <mergeCell ref="C41:D41"/>
    <mergeCell ref="C43:D43"/>
    <mergeCell ref="A33:A37"/>
    <mergeCell ref="C33:D33"/>
    <mergeCell ref="C35:D35"/>
    <mergeCell ref="C37:D37"/>
    <mergeCell ref="C68:F68"/>
    <mergeCell ref="C69:F69"/>
    <mergeCell ref="C72:H72"/>
    <mergeCell ref="A74:A78"/>
    <mergeCell ref="C74:D74"/>
    <mergeCell ref="C76:D76"/>
    <mergeCell ref="C78:D78"/>
    <mergeCell ref="A80:A84"/>
    <mergeCell ref="C80:D80"/>
    <mergeCell ref="C82:D82"/>
    <mergeCell ref="C84:D84"/>
    <mergeCell ref="A85:I86"/>
  </mergeCells>
  <dataValidations count="11">
    <dataValidation type="list" allowBlank="1" showInputMessage="1" showErrorMessage="1" sqref="M35 M61 Q61 O55 O61 Q55 S55 S61 M55 M41 Q41 O35 O41 Q35 S35 S41 M82 Q82 O76 O82 Q76 S76 S82 M76">
      <formula1>$I$121:$I$128</formula1>
    </dataValidation>
    <dataValidation type="list" allowBlank="1" showInputMessage="1" showErrorMessage="1" sqref="K15 M15 O15 Q15 S15 K21 M21 O21 Q21 S21">
      <formula1>$I$91:$I$98</formula1>
    </dataValidation>
    <dataValidation type="list" allowBlank="1" showInputMessage="1" showErrorMessage="1" sqref="K74">
      <formula1>$I$199:$I$206</formula1>
    </dataValidation>
    <dataValidation type="list" allowBlank="1" showInputMessage="1" showErrorMessage="1" sqref="K13 M13 O13 Q13 S13">
      <formula1>$I$109:$I$116</formula1>
    </dataValidation>
    <dataValidation type="list" allowBlank="1" showInputMessage="1" showErrorMessage="1" sqref="K30 S50 M50 Q50 O50 K50 S30 Q10:Q11 M10:M11 M30 Q30 O30 K10:K11 S10:S11 O10:O11 S71 M71 Q71 O71 K71">
      <formula1>$I$100:$I$105</formula1>
    </dataValidation>
    <dataValidation type="list" allowBlank="1" showInputMessage="1" showErrorMessage="1" sqref="S39 K53 M53 O53 Q53 S53 K59 M59 O59 Q59 S59 K33 M33 O33 Q33 S33 K39 M39 O39 Q39 S80 M74 O74 Q74 S74 K80 M80 O80 Q80">
      <formula1>$I$139:$I$146</formula1>
    </dataValidation>
    <dataValidation type="list" allowBlank="1" showInputMessage="1" showErrorMessage="1" sqref="K35 K61 K55 K41 K82 K76">
      <formula1>$I$121:$I$129</formula1>
    </dataValidation>
    <dataValidation type="list" allowBlank="1" showInputMessage="1" showErrorMessage="1" sqref="S43 K57 M57 O57 Q57 S57 K63 M63 O63 Q63 S63 K37 M37 O37 Q37 S37 K43 M43 O43 Q43 K78 M78 O78 Q78 S78 K84 M84 O84 Q84 S84">
      <formula1>$I$130:$I$137</formula1>
    </dataValidation>
    <dataValidation type="list" allowBlank="1" showInputMessage="1" showErrorMessage="1" sqref="I6 I46 I26 I67">
      <formula1>$S$89:$S$90</formula1>
    </dataValidation>
    <dataValidation type="list" allowBlank="1" showInputMessage="1" showErrorMessage="1" sqref="S19 Q19 O19 M19 K19">
      <formula1>$I$108:$I$116</formula1>
    </dataValidation>
    <dataValidation type="list" allowBlank="1" showInputMessage="1" showErrorMessage="1" sqref="K17 S23 Q23 O23 M23 K23 S17 Q17 O17 M17">
      <formula1>$I$100:$I$107</formula1>
    </dataValidation>
  </dataValidations>
  <pageMargins left="0.25" right="0.25" top="1" bottom="1" header="0.5" footer="0.5"/>
  <pageSetup scale="53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6"/>
  <sheetViews>
    <sheetView workbookViewId="0">
      <selection activeCell="F17" sqref="F17"/>
    </sheetView>
  </sheetViews>
  <sheetFormatPr defaultColWidth="8.88671875" defaultRowHeight="13.2" x14ac:dyDescent="0.25"/>
  <cols>
    <col min="1" max="1" width="22" style="77" bestFit="1" customWidth="1"/>
    <col min="2" max="2" width="19.44140625" style="77" bestFit="1" customWidth="1"/>
    <col min="3" max="3" width="17.109375" style="77" customWidth="1"/>
    <col min="4" max="16384" width="8.88671875" style="77"/>
  </cols>
  <sheetData>
    <row r="1" spans="1:3" ht="14.4" x14ac:dyDescent="0.3">
      <c r="A1" s="136" t="s">
        <v>106</v>
      </c>
      <c r="B1" s="137">
        <f>Summary!D3</f>
        <v>0</v>
      </c>
      <c r="C1" s="137"/>
    </row>
    <row r="2" spans="1:3" ht="14.4" x14ac:dyDescent="0.3">
      <c r="A2" s="136" t="s">
        <v>107</v>
      </c>
      <c r="B2" s="137">
        <f>Summary!D4</f>
        <v>0</v>
      </c>
      <c r="C2" s="137"/>
    </row>
    <row r="3" spans="1:3" ht="14.4" x14ac:dyDescent="0.3">
      <c r="A3" s="136" t="s">
        <v>108</v>
      </c>
      <c r="B3" s="137">
        <f>Summary!D5</f>
        <v>0</v>
      </c>
      <c r="C3" s="137"/>
    </row>
    <row r="4" spans="1:3" ht="14.4" x14ac:dyDescent="0.3">
      <c r="A4" s="136" t="s">
        <v>109</v>
      </c>
      <c r="B4" s="138">
        <f>Summary!D6</f>
        <v>0</v>
      </c>
      <c r="C4" s="138"/>
    </row>
    <row r="5" spans="1:3" ht="14.4" x14ac:dyDescent="0.3">
      <c r="A5" s="139" t="s">
        <v>110</v>
      </c>
      <c r="B5" s="150"/>
      <c r="C5" s="137"/>
    </row>
    <row r="7" spans="1:3" ht="14.4" x14ac:dyDescent="0.3">
      <c r="A7" s="140" t="s">
        <v>111</v>
      </c>
      <c r="B7" s="141" t="s">
        <v>112</v>
      </c>
      <c r="C7" s="140" t="s">
        <v>113</v>
      </c>
    </row>
    <row r="8" spans="1:3" ht="14.4" x14ac:dyDescent="0.3">
      <c r="A8" s="142" t="s">
        <v>114</v>
      </c>
      <c r="B8" s="143" t="s">
        <v>115</v>
      </c>
      <c r="C8" s="144">
        <f>ROUND(Summary!R39,0)</f>
        <v>0</v>
      </c>
    </row>
    <row r="9" spans="1:3" ht="14.4" x14ac:dyDescent="0.3">
      <c r="A9" s="142" t="s">
        <v>116</v>
      </c>
      <c r="B9" s="143" t="s">
        <v>117</v>
      </c>
      <c r="C9" s="144">
        <f>ROUND(Summary!R41,0)</f>
        <v>0</v>
      </c>
    </row>
    <row r="10" spans="1:3" ht="14.4" x14ac:dyDescent="0.3">
      <c r="A10" s="142" t="s">
        <v>118</v>
      </c>
      <c r="B10" s="143" t="s">
        <v>119</v>
      </c>
      <c r="C10" s="144">
        <f>ROUND(Summary!R66,0)</f>
        <v>0</v>
      </c>
    </row>
    <row r="11" spans="1:3" ht="14.4" x14ac:dyDescent="0.3">
      <c r="A11" s="142" t="s">
        <v>120</v>
      </c>
      <c r="B11" s="143" t="s">
        <v>121</v>
      </c>
      <c r="C11" s="144">
        <f>ROUND(Summary!R71+Summary!R76+Summary!R77,0)</f>
        <v>0</v>
      </c>
    </row>
    <row r="12" spans="1:3" ht="14.4" x14ac:dyDescent="0.3">
      <c r="A12" s="142" t="s">
        <v>122</v>
      </c>
      <c r="B12" s="143" t="s">
        <v>123</v>
      </c>
      <c r="C12" s="144">
        <f>ROUND(Summary!R72,0)</f>
        <v>0</v>
      </c>
    </row>
    <row r="13" spans="1:3" ht="14.4" x14ac:dyDescent="0.3">
      <c r="A13" s="142" t="s">
        <v>124</v>
      </c>
      <c r="B13" s="143" t="s">
        <v>125</v>
      </c>
      <c r="C13" s="144">
        <f>ROUND(SUM(Summary!R91:R93),0)</f>
        <v>0</v>
      </c>
    </row>
    <row r="14" spans="1:3" ht="14.4" x14ac:dyDescent="0.3">
      <c r="A14" s="142" t="s">
        <v>126</v>
      </c>
      <c r="B14" s="143" t="s">
        <v>127</v>
      </c>
      <c r="C14" s="144">
        <f>ROUND(Summary!R81,0)</f>
        <v>0</v>
      </c>
    </row>
    <row r="15" spans="1:3" ht="14.4" x14ac:dyDescent="0.3">
      <c r="A15" s="142" t="s">
        <v>128</v>
      </c>
      <c r="B15" s="145"/>
      <c r="C15" s="144"/>
    </row>
    <row r="16" spans="1:3" ht="14.4" x14ac:dyDescent="0.3">
      <c r="A16" s="146" t="s">
        <v>129</v>
      </c>
      <c r="B16" s="143" t="s">
        <v>130</v>
      </c>
      <c r="C16" s="144">
        <f>ROUND(Summary!R87+Summary!R89,0)</f>
        <v>0</v>
      </c>
    </row>
    <row r="17" spans="1:3" ht="14.4" x14ac:dyDescent="0.3">
      <c r="A17" s="146" t="s">
        <v>131</v>
      </c>
      <c r="B17" s="143" t="s">
        <v>132</v>
      </c>
      <c r="C17" s="144">
        <f>ROUND(Summary!R88+Summary!R90,0)</f>
        <v>0</v>
      </c>
    </row>
    <row r="18" spans="1:3" ht="14.4" x14ac:dyDescent="0.3">
      <c r="A18" s="142" t="s">
        <v>34</v>
      </c>
      <c r="B18" s="145"/>
      <c r="C18" s="144"/>
    </row>
    <row r="19" spans="1:3" ht="14.4" x14ac:dyDescent="0.3">
      <c r="A19" s="142" t="s">
        <v>133</v>
      </c>
      <c r="B19" s="143" t="s">
        <v>134</v>
      </c>
      <c r="C19" s="144">
        <f>ROUND(Summary!R84,0)</f>
        <v>0</v>
      </c>
    </row>
    <row r="20" spans="1:3" ht="14.4" x14ac:dyDescent="0.3">
      <c r="A20" s="142" t="s">
        <v>135</v>
      </c>
      <c r="B20" s="143" t="s">
        <v>136</v>
      </c>
      <c r="C20" s="144">
        <f>ROUND(Summary!R82,0)</f>
        <v>0</v>
      </c>
    </row>
    <row r="21" spans="1:3" ht="14.4" x14ac:dyDescent="0.3">
      <c r="A21" s="142" t="s">
        <v>137</v>
      </c>
      <c r="B21" s="143" t="s">
        <v>138</v>
      </c>
      <c r="C21" s="144">
        <f>ROUND(Summary!R75+Summary!R83,0)</f>
        <v>0</v>
      </c>
    </row>
    <row r="22" spans="1:3" ht="14.4" x14ac:dyDescent="0.3">
      <c r="A22" s="142" t="s">
        <v>139</v>
      </c>
      <c r="B22" s="143" t="s">
        <v>140</v>
      </c>
      <c r="C22" s="144">
        <f>ROUND(Summary!R85+Summary!R95+Summary!R96+Summary!R78+Summary!R86,0)</f>
        <v>0</v>
      </c>
    </row>
    <row r="23" spans="1:3" ht="14.4" x14ac:dyDescent="0.3">
      <c r="A23" s="142" t="s">
        <v>141</v>
      </c>
      <c r="B23" s="145"/>
      <c r="C23" s="147">
        <f>SUM(C8:C22)</f>
        <v>0</v>
      </c>
    </row>
    <row r="24" spans="1:3" ht="14.4" x14ac:dyDescent="0.3">
      <c r="A24" s="142" t="s">
        <v>38</v>
      </c>
      <c r="B24" s="143" t="s">
        <v>142</v>
      </c>
      <c r="C24" s="148">
        <f>ROUND(Summary!R104,0)</f>
        <v>0</v>
      </c>
    </row>
    <row r="25" spans="1:3" ht="15" thickBot="1" x14ac:dyDescent="0.35">
      <c r="A25" s="142" t="s">
        <v>143</v>
      </c>
      <c r="B25" s="145"/>
      <c r="C25" s="149">
        <f>SUM(C23:C24)</f>
        <v>0</v>
      </c>
    </row>
    <row r="26" spans="1:3" ht="13.8" thickTop="1" x14ac:dyDescent="0.25"/>
  </sheetData>
  <sheetProtection select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Summary</vt:lpstr>
      <vt:lpstr>F&amp;A Calculation- Sponsor Funds </vt:lpstr>
      <vt:lpstr>F&amp;A Calculations - Cost Share</vt:lpstr>
      <vt:lpstr>Tuition</vt:lpstr>
      <vt:lpstr>SPA USE ONLY</vt:lpstr>
      <vt:lpstr>FA_RATE</vt:lpstr>
      <vt:lpstr>Summary!Print_Area</vt:lpstr>
      <vt:lpstr>Tuition!Print_Area</vt:lpstr>
    </vt:vector>
  </TitlesOfParts>
  <Company>Iowa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Alvarez</dc:creator>
  <cp:lastModifiedBy>Thrasher, Patti [M E]</cp:lastModifiedBy>
  <cp:lastPrinted>2017-06-05T15:56:48Z</cp:lastPrinted>
  <dcterms:created xsi:type="dcterms:W3CDTF">2008-11-17T19:38:33Z</dcterms:created>
  <dcterms:modified xsi:type="dcterms:W3CDTF">2017-09-28T13:42:52Z</dcterms:modified>
</cp:coreProperties>
</file>